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předvyplněný" sheetId="1" r:id="rId1"/>
    <sheet name="předvyplněný s přespáním" sheetId="2" r:id="rId2"/>
    <sheet name="nepředvyplněný" sheetId="3" r:id="rId3"/>
    <sheet name="DV-IDENTITY-0" sheetId="4" state="hidden" r:id="rId4"/>
  </sheets>
  <calcPr calcId="125725"/>
</workbook>
</file>

<file path=xl/calcChain.xml><?xml version="1.0" encoding="utf-8"?>
<calcChain xmlns="http://schemas.openxmlformats.org/spreadsheetml/2006/main">
  <c r="A1" i="4"/>
  <c r="B1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DF1"/>
  <c r="DG1"/>
  <c r="DH1"/>
  <c r="DI1"/>
  <c r="DJ1"/>
  <c r="DK1"/>
  <c r="DL1"/>
  <c r="DM1"/>
  <c r="DN1"/>
  <c r="DO1"/>
  <c r="DP1"/>
  <c r="DQ1"/>
  <c r="DR1"/>
  <c r="DS1"/>
  <c r="DT1"/>
  <c r="DU1"/>
  <c r="DV1"/>
  <c r="DW1"/>
  <c r="DX1"/>
  <c r="DY1"/>
  <c r="DZ1"/>
  <c r="EA1"/>
  <c r="EB1"/>
  <c r="EC1"/>
  <c r="ED1"/>
  <c r="EE1"/>
  <c r="EF1"/>
  <c r="EG1"/>
  <c r="EH1"/>
  <c r="EI1"/>
  <c r="EJ1"/>
  <c r="EK1"/>
  <c r="EL1"/>
  <c r="EM1"/>
  <c r="EN1"/>
  <c r="EO1"/>
  <c r="EP1"/>
  <c r="EQ1"/>
  <c r="ER1"/>
  <c r="ES1"/>
  <c r="ET1"/>
  <c r="EU1"/>
  <c r="EV1"/>
  <c r="EW1"/>
  <c r="EX1"/>
  <c r="EY1"/>
  <c r="EZ1"/>
  <c r="FA1"/>
  <c r="FB1"/>
  <c r="FC1"/>
  <c r="FD1"/>
  <c r="FE1"/>
  <c r="FF1"/>
  <c r="FG1"/>
  <c r="FH1"/>
  <c r="FI1"/>
  <c r="FJ1"/>
  <c r="FK1"/>
  <c r="FL1"/>
  <c r="FM1"/>
  <c r="FN1"/>
  <c r="FO1"/>
  <c r="FP1"/>
  <c r="FQ1"/>
  <c r="FR1"/>
  <c r="FS1"/>
  <c r="FT1"/>
  <c r="FU1"/>
  <c r="FV1"/>
  <c r="FW1"/>
  <c r="FX1"/>
  <c r="FY1"/>
  <c r="FZ1"/>
  <c r="GA1"/>
  <c r="GB1"/>
  <c r="GC1"/>
  <c r="GD1"/>
  <c r="GE1"/>
  <c r="GF1"/>
  <c r="GG1"/>
  <c r="GH1"/>
  <c r="GI1"/>
  <c r="GJ1"/>
  <c r="GK1"/>
  <c r="GL1"/>
  <c r="GM1"/>
  <c r="GN1"/>
  <c r="GO1"/>
  <c r="GP1"/>
  <c r="GQ1"/>
  <c r="GR1"/>
  <c r="GS1"/>
  <c r="GT1"/>
  <c r="GU1"/>
  <c r="GV1"/>
  <c r="GW1"/>
  <c r="GX1"/>
  <c r="GY1"/>
  <c r="GZ1"/>
  <c r="HA1"/>
  <c r="HB1"/>
  <c r="HC1"/>
  <c r="HD1"/>
  <c r="HE1"/>
  <c r="HF1"/>
  <c r="HG1"/>
  <c r="HH1"/>
  <c r="HI1"/>
  <c r="HJ1"/>
  <c r="HK1"/>
  <c r="HL1"/>
  <c r="HM1"/>
  <c r="HN1"/>
  <c r="HO1"/>
  <c r="HP1"/>
  <c r="HQ1"/>
  <c r="HR1"/>
  <c r="HS1"/>
  <c r="HT1"/>
  <c r="HU1"/>
  <c r="HV1"/>
  <c r="HW1"/>
  <c r="HX1"/>
  <c r="HY1"/>
  <c r="HZ1"/>
  <c r="IA1"/>
  <c r="IB1"/>
  <c r="IC1"/>
  <c r="ID1"/>
  <c r="IE1"/>
  <c r="IF1"/>
  <c r="IG1"/>
  <c r="IH1"/>
  <c r="II1"/>
  <c r="IJ1"/>
  <c r="IK1"/>
  <c r="IL1"/>
  <c r="IM1"/>
  <c r="IN1"/>
  <c r="IO1"/>
  <c r="IP1"/>
  <c r="IQ1"/>
  <c r="IR1"/>
  <c r="IS1"/>
  <c r="IT1"/>
  <c r="IU1"/>
  <c r="IV1"/>
  <c r="A2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  <c r="FV2"/>
  <c r="FW2"/>
  <c r="FX2"/>
  <c r="FY2"/>
  <c r="FZ2"/>
  <c r="GA2"/>
  <c r="GB2"/>
  <c r="GC2"/>
  <c r="GD2"/>
  <c r="GE2"/>
  <c r="GF2"/>
  <c r="GG2"/>
  <c r="GH2"/>
  <c r="GI2"/>
  <c r="GJ2"/>
  <c r="GK2"/>
  <c r="GL2"/>
  <c r="GM2"/>
  <c r="GN2"/>
  <c r="GO2"/>
  <c r="GP2"/>
  <c r="GQ2"/>
  <c r="GR2"/>
  <c r="GS2"/>
  <c r="GT2"/>
  <c r="GU2"/>
  <c r="GV2"/>
  <c r="GW2"/>
  <c r="GX2"/>
  <c r="GY2"/>
  <c r="GZ2"/>
  <c r="HA2"/>
  <c r="HB2"/>
  <c r="HC2"/>
  <c r="HD2"/>
  <c r="HE2"/>
  <c r="HF2"/>
  <c r="HG2"/>
  <c r="HH2"/>
  <c r="HI2"/>
  <c r="HJ2"/>
  <c r="HK2"/>
  <c r="HL2"/>
  <c r="HM2"/>
  <c r="HN2"/>
  <c r="HO2"/>
  <c r="HP2"/>
  <c r="HQ2"/>
  <c r="HR2"/>
  <c r="HS2"/>
  <c r="HT2"/>
  <c r="HU2"/>
  <c r="HV2"/>
  <c r="HW2"/>
  <c r="HX2"/>
  <c r="HY2"/>
  <c r="HZ2"/>
  <c r="IA2"/>
  <c r="IB2"/>
  <c r="IC2"/>
  <c r="ID2"/>
  <c r="IE2"/>
  <c r="IF2"/>
  <c r="IG2"/>
  <c r="IH2"/>
  <c r="II2"/>
  <c r="IJ2"/>
  <c r="IK2"/>
  <c r="IL2"/>
  <c r="IM2"/>
  <c r="IN2"/>
  <c r="IO2"/>
  <c r="IP2"/>
  <c r="IQ2"/>
  <c r="IR2"/>
  <c r="IS2"/>
  <c r="IT2"/>
  <c r="IU2"/>
  <c r="IV2"/>
  <c r="A3"/>
  <c r="B3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BJ3"/>
  <c r="BK3"/>
  <c r="BL3"/>
  <c r="BM3"/>
  <c r="BN3"/>
  <c r="BO3"/>
  <c r="BP3"/>
  <c r="BQ3"/>
  <c r="BR3"/>
  <c r="BS3"/>
  <c r="BT3"/>
  <c r="BU3"/>
  <c r="BV3"/>
  <c r="BW3"/>
  <c r="BX3"/>
  <c r="BY3"/>
  <c r="BZ3"/>
  <c r="CA3"/>
  <c r="CB3"/>
  <c r="CC3"/>
  <c r="CD3"/>
  <c r="CE3"/>
  <c r="CF3"/>
  <c r="CG3"/>
  <c r="CH3"/>
  <c r="CI3"/>
  <c r="CJ3"/>
  <c r="CK3"/>
  <c r="CL3"/>
  <c r="CM3"/>
  <c r="CN3"/>
  <c r="CO3"/>
  <c r="CP3"/>
  <c r="CQ3"/>
  <c r="CR3"/>
  <c r="CS3"/>
  <c r="CT3"/>
  <c r="CU3"/>
  <c r="CV3"/>
  <c r="CW3"/>
  <c r="CX3"/>
  <c r="CY3"/>
  <c r="CZ3"/>
  <c r="DA3"/>
  <c r="DB3"/>
  <c r="DC3"/>
  <c r="DD3"/>
  <c r="DE3"/>
  <c r="DF3"/>
  <c r="DG3"/>
  <c r="DH3"/>
  <c r="DI3"/>
  <c r="DJ3"/>
  <c r="DK3"/>
  <c r="DL3"/>
  <c r="DM3"/>
  <c r="DN3"/>
  <c r="DO3"/>
  <c r="DP3"/>
  <c r="DQ3"/>
  <c r="DR3"/>
  <c r="DS3"/>
  <c r="DT3"/>
  <c r="DU3"/>
  <c r="DV3"/>
  <c r="DW3"/>
  <c r="DX3"/>
  <c r="DY3"/>
  <c r="DZ3"/>
  <c r="EA3"/>
  <c r="EB3"/>
  <c r="EC3"/>
  <c r="ED3"/>
  <c r="EE3"/>
  <c r="EF3"/>
  <c r="EG3"/>
  <c r="EH3"/>
  <c r="EI3"/>
  <c r="EJ3"/>
  <c r="EK3"/>
  <c r="EL3"/>
  <c r="EM3"/>
  <c r="EN3"/>
  <c r="EO3"/>
  <c r="EP3"/>
  <c r="EQ3"/>
  <c r="ER3"/>
  <c r="ES3"/>
  <c r="ET3"/>
  <c r="EU3"/>
  <c r="EV3"/>
  <c r="EW3"/>
  <c r="EX3"/>
  <c r="EY3"/>
  <c r="EZ3"/>
  <c r="FA3"/>
  <c r="FB3"/>
  <c r="FC3"/>
  <c r="FD3"/>
  <c r="FE3"/>
  <c r="FF3"/>
  <c r="FG3"/>
  <c r="FH3"/>
  <c r="FI3"/>
  <c r="FJ3"/>
  <c r="FK3"/>
  <c r="FL3"/>
  <c r="FM3"/>
  <c r="FN3"/>
  <c r="FO3"/>
  <c r="FP3"/>
  <c r="FQ3"/>
  <c r="FR3"/>
  <c r="FS3"/>
  <c r="FT3"/>
  <c r="FU3"/>
  <c r="FV3"/>
  <c r="FW3"/>
  <c r="FX3"/>
  <c r="FY3"/>
  <c r="FZ3"/>
  <c r="GA3"/>
  <c r="GB3"/>
  <c r="GC3"/>
  <c r="GD3"/>
  <c r="GE3"/>
  <c r="GF3"/>
  <c r="GG3"/>
  <c r="GH3"/>
  <c r="GI3"/>
  <c r="GJ3"/>
  <c r="GK3"/>
  <c r="GL3"/>
  <c r="GM3"/>
  <c r="GN3"/>
  <c r="GO3"/>
  <c r="GP3"/>
  <c r="GQ3"/>
  <c r="GR3"/>
  <c r="GS3"/>
  <c r="GT3"/>
  <c r="GU3"/>
  <c r="GV3"/>
  <c r="GW3"/>
  <c r="GX3"/>
  <c r="GY3"/>
  <c r="GZ3"/>
  <c r="HA3"/>
  <c r="HB3"/>
  <c r="HC3"/>
  <c r="HD3"/>
  <c r="HE3"/>
  <c r="HF3"/>
  <c r="HG3"/>
  <c r="HH3"/>
  <c r="HI3"/>
  <c r="HJ3"/>
  <c r="HK3"/>
  <c r="HL3"/>
  <c r="HM3"/>
  <c r="HN3"/>
  <c r="HO3"/>
  <c r="HP3"/>
  <c r="HQ3"/>
  <c r="HR3"/>
  <c r="HS3"/>
  <c r="HT3"/>
  <c r="HU3"/>
  <c r="HV3"/>
  <c r="HW3"/>
  <c r="HX3"/>
  <c r="HY3"/>
  <c r="HZ3"/>
  <c r="IA3"/>
  <c r="IB3"/>
  <c r="IC3"/>
  <c r="ID3"/>
  <c r="IE3"/>
  <c r="IF3"/>
  <c r="IG3"/>
  <c r="IH3"/>
  <c r="II3"/>
  <c r="IJ3"/>
  <c r="IK3"/>
  <c r="IL3"/>
  <c r="IM3"/>
  <c r="IN3"/>
  <c r="IO3"/>
  <c r="IP3"/>
  <c r="IQ3"/>
  <c r="IR3"/>
  <c r="IS3"/>
  <c r="IT3"/>
  <c r="IU3"/>
  <c r="IV3"/>
  <c r="A4"/>
  <c r="B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L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E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V4"/>
  <c r="FW4"/>
  <c r="FX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  <c r="GY4"/>
  <c r="GZ4"/>
  <c r="HA4"/>
  <c r="HB4"/>
  <c r="HC4"/>
  <c r="HD4"/>
  <c r="HE4"/>
  <c r="HF4"/>
  <c r="HG4"/>
  <c r="HH4"/>
  <c r="HI4"/>
  <c r="HJ4"/>
  <c r="HK4"/>
  <c r="HL4"/>
  <c r="HM4"/>
  <c r="HN4"/>
  <c r="HO4"/>
  <c r="HP4"/>
  <c r="HQ4"/>
  <c r="HR4"/>
  <c r="HS4"/>
  <c r="HT4"/>
  <c r="HU4"/>
  <c r="HV4"/>
  <c r="HW4"/>
  <c r="HX4"/>
  <c r="HY4"/>
  <c r="HZ4"/>
  <c r="IA4"/>
  <c r="IB4"/>
  <c r="IC4"/>
  <c r="ID4"/>
  <c r="IE4"/>
  <c r="IF4"/>
  <c r="IG4"/>
  <c r="IH4"/>
  <c r="II4"/>
  <c r="IJ4"/>
  <c r="IK4"/>
  <c r="IL4"/>
  <c r="IM4"/>
  <c r="IN4"/>
  <c r="IO4"/>
  <c r="IP4"/>
  <c r="IQ4"/>
  <c r="IR4"/>
  <c r="IS4"/>
  <c r="IT4"/>
  <c r="IU4"/>
  <c r="IV4"/>
  <c r="A5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F5"/>
  <c r="EG5"/>
  <c r="EH5"/>
  <c r="EI5"/>
  <c r="EJ5"/>
  <c r="EK5"/>
  <c r="EL5"/>
  <c r="EM5"/>
  <c r="EN5"/>
  <c r="EO5"/>
  <c r="EP5"/>
  <c r="EQ5"/>
  <c r="ER5"/>
  <c r="ES5"/>
  <c r="ET5"/>
  <c r="EU5"/>
  <c r="EV5"/>
  <c r="EW5"/>
  <c r="EX5"/>
  <c r="EY5"/>
  <c r="EZ5"/>
  <c r="FA5"/>
  <c r="FB5"/>
  <c r="FC5"/>
  <c r="FD5"/>
  <c r="FE5"/>
  <c r="FF5"/>
  <c r="FG5"/>
  <c r="FH5"/>
  <c r="FI5"/>
  <c r="FJ5"/>
  <c r="FK5"/>
  <c r="FL5"/>
  <c r="FM5"/>
  <c r="FN5"/>
  <c r="FO5"/>
  <c r="FP5"/>
  <c r="FQ5"/>
  <c r="FR5"/>
  <c r="FS5"/>
  <c r="FT5"/>
  <c r="FU5"/>
  <c r="FV5"/>
  <c r="FW5"/>
  <c r="FX5"/>
  <c r="FY5"/>
  <c r="FZ5"/>
  <c r="GA5"/>
  <c r="GB5"/>
  <c r="GC5"/>
  <c r="GD5"/>
  <c r="GE5"/>
  <c r="GF5"/>
  <c r="GG5"/>
  <c r="GH5"/>
  <c r="GI5"/>
  <c r="GJ5"/>
  <c r="GK5"/>
  <c r="GL5"/>
  <c r="GM5"/>
  <c r="GN5"/>
  <c r="GO5"/>
  <c r="GP5"/>
  <c r="GQ5"/>
  <c r="GR5"/>
  <c r="GS5"/>
  <c r="GT5"/>
  <c r="GU5"/>
  <c r="GV5"/>
  <c r="GW5"/>
  <c r="GX5"/>
  <c r="GY5"/>
  <c r="GZ5"/>
  <c r="HA5"/>
  <c r="HB5"/>
  <c r="HC5"/>
  <c r="HD5"/>
  <c r="HE5"/>
  <c r="HF5"/>
  <c r="HG5"/>
  <c r="HH5"/>
  <c r="HI5"/>
  <c r="HJ5"/>
  <c r="HK5"/>
  <c r="HL5"/>
  <c r="HM5"/>
  <c r="HN5"/>
  <c r="HO5"/>
  <c r="HP5"/>
  <c r="HQ5"/>
  <c r="HR5"/>
  <c r="HS5"/>
  <c r="HT5"/>
  <c r="HU5"/>
  <c r="HV5"/>
  <c r="HW5"/>
  <c r="HX5"/>
  <c r="HY5"/>
  <c r="HZ5"/>
  <c r="IA5"/>
  <c r="IB5"/>
  <c r="IC5"/>
  <c r="ID5"/>
  <c r="IE5"/>
  <c r="IF5"/>
  <c r="IG5"/>
  <c r="IH5"/>
  <c r="II5"/>
  <c r="IJ5"/>
  <c r="IK5"/>
  <c r="IL5"/>
  <c r="IM5"/>
  <c r="IN5"/>
  <c r="IO5"/>
  <c r="IP5"/>
  <c r="IQ5"/>
  <c r="IR5"/>
  <c r="IS5"/>
  <c r="IT5"/>
  <c r="IU5"/>
  <c r="IV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F6"/>
  <c r="EG6"/>
  <c r="EH6"/>
  <c r="EI6"/>
  <c r="EJ6"/>
  <c r="EK6"/>
  <c r="EL6"/>
  <c r="EM6"/>
  <c r="EN6"/>
  <c r="EO6"/>
  <c r="EP6"/>
  <c r="EQ6"/>
  <c r="ER6"/>
  <c r="ES6"/>
  <c r="ET6"/>
  <c r="EU6"/>
  <c r="EV6"/>
  <c r="EW6"/>
  <c r="EX6"/>
  <c r="EY6"/>
  <c r="EZ6"/>
  <c r="FA6"/>
  <c r="FB6"/>
  <c r="FC6"/>
  <c r="FD6"/>
  <c r="FE6"/>
  <c r="FF6"/>
  <c r="FG6"/>
  <c r="FH6"/>
  <c r="FI6"/>
  <c r="FJ6"/>
  <c r="FK6"/>
  <c r="FL6"/>
  <c r="FM6"/>
  <c r="FN6"/>
  <c r="FO6"/>
  <c r="FP6"/>
  <c r="FQ6"/>
  <c r="FR6"/>
  <c r="FS6"/>
  <c r="FT6"/>
  <c r="FU6"/>
  <c r="FV6"/>
  <c r="FW6"/>
  <c r="FX6"/>
  <c r="FY6"/>
  <c r="FZ6"/>
  <c r="GA6"/>
  <c r="GB6"/>
  <c r="GC6"/>
  <c r="GD6"/>
  <c r="GE6"/>
  <c r="GF6"/>
  <c r="GG6"/>
  <c r="GH6"/>
  <c r="GI6"/>
  <c r="GJ6"/>
  <c r="GK6"/>
  <c r="GL6"/>
  <c r="GM6"/>
  <c r="GN6"/>
  <c r="GO6"/>
  <c r="GP6"/>
  <c r="GQ6"/>
  <c r="GR6"/>
  <c r="GS6"/>
  <c r="GT6"/>
  <c r="GU6"/>
  <c r="GV6"/>
  <c r="GW6"/>
  <c r="GX6"/>
  <c r="GY6"/>
  <c r="GZ6"/>
  <c r="HA6"/>
  <c r="HB6"/>
  <c r="HC6"/>
  <c r="HD6"/>
  <c r="HE6"/>
  <c r="HF6"/>
  <c r="HG6"/>
  <c r="HH6"/>
  <c r="HI6"/>
  <c r="HJ6"/>
  <c r="HK6"/>
  <c r="HL6"/>
  <c r="HM6"/>
  <c r="HN6"/>
  <c r="HO6"/>
  <c r="HP6"/>
  <c r="HQ6"/>
  <c r="HR6"/>
  <c r="HS6"/>
  <c r="HT6"/>
  <c r="HU6"/>
  <c r="HV6"/>
  <c r="HW6"/>
  <c r="HX6"/>
  <c r="HY6"/>
  <c r="HZ6"/>
  <c r="IA6"/>
  <c r="IB6"/>
  <c r="IC6"/>
  <c r="ID6"/>
  <c r="IE6"/>
  <c r="IF6"/>
  <c r="IG6"/>
  <c r="IH6"/>
  <c r="II6"/>
  <c r="IJ6"/>
  <c r="IK6"/>
  <c r="IL6"/>
  <c r="IM6"/>
  <c r="IN6"/>
  <c r="IO6"/>
  <c r="IP6"/>
  <c r="IQ6"/>
  <c r="IR6"/>
  <c r="IS6"/>
  <c r="IT6"/>
  <c r="IU6"/>
  <c r="IV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F7"/>
  <c r="EG7"/>
  <c r="EH7"/>
  <c r="EI7"/>
  <c r="EJ7"/>
  <c r="EK7"/>
  <c r="EL7"/>
  <c r="EM7"/>
  <c r="EN7"/>
  <c r="EO7"/>
  <c r="EP7"/>
  <c r="EQ7"/>
  <c r="ER7"/>
  <c r="ES7"/>
  <c r="ET7"/>
  <c r="EU7"/>
  <c r="EV7"/>
  <c r="EW7"/>
  <c r="EX7"/>
  <c r="EY7"/>
  <c r="EZ7"/>
  <c r="FA7"/>
  <c r="FB7"/>
  <c r="FC7"/>
  <c r="FD7"/>
  <c r="FE7"/>
  <c r="FF7"/>
  <c r="FG7"/>
  <c r="FH7"/>
  <c r="FI7"/>
  <c r="FJ7"/>
  <c r="FK7"/>
  <c r="FL7"/>
  <c r="FM7"/>
  <c r="FN7"/>
  <c r="FO7"/>
  <c r="FP7"/>
  <c r="FQ7"/>
  <c r="FR7"/>
  <c r="FS7"/>
  <c r="FT7"/>
  <c r="FU7"/>
  <c r="FV7"/>
  <c r="FW7"/>
  <c r="FX7"/>
  <c r="FY7"/>
  <c r="FZ7"/>
  <c r="GA7"/>
  <c r="GB7"/>
  <c r="GC7"/>
  <c r="GD7"/>
  <c r="GE7"/>
  <c r="GF7"/>
  <c r="GG7"/>
  <c r="GH7"/>
  <c r="GI7"/>
  <c r="GJ7"/>
  <c r="GK7"/>
  <c r="GL7"/>
  <c r="GM7"/>
  <c r="GN7"/>
  <c r="GO7"/>
  <c r="GP7"/>
  <c r="GQ7"/>
  <c r="GR7"/>
  <c r="GS7"/>
  <c r="GT7"/>
  <c r="GU7"/>
  <c r="GV7"/>
  <c r="GW7"/>
  <c r="GX7"/>
  <c r="GY7"/>
  <c r="GZ7"/>
  <c r="HA7"/>
  <c r="HB7"/>
  <c r="HC7"/>
  <c r="HD7"/>
  <c r="HE7"/>
  <c r="HF7"/>
  <c r="HG7"/>
  <c r="HH7"/>
  <c r="HI7"/>
  <c r="HJ7"/>
  <c r="HK7"/>
  <c r="HL7"/>
  <c r="HM7"/>
  <c r="HN7"/>
  <c r="HO7"/>
  <c r="HP7"/>
  <c r="HQ7"/>
  <c r="HR7"/>
  <c r="HS7"/>
  <c r="HT7"/>
  <c r="HU7"/>
  <c r="HV7"/>
  <c r="HW7"/>
  <c r="HX7"/>
  <c r="HY7"/>
  <c r="HZ7"/>
  <c r="IA7"/>
  <c r="IB7"/>
  <c r="IC7"/>
  <c r="ID7"/>
  <c r="IE7"/>
  <c r="IF7"/>
  <c r="IG7"/>
  <c r="IH7"/>
  <c r="II7"/>
  <c r="IJ7"/>
  <c r="IK7"/>
  <c r="IL7"/>
  <c r="IM7"/>
  <c r="IN7"/>
  <c r="IO7"/>
  <c r="IP7"/>
  <c r="IQ7"/>
  <c r="IR7"/>
  <c r="IS7"/>
  <c r="IT7"/>
  <c r="IU7"/>
  <c r="IV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F8"/>
  <c r="EG8"/>
  <c r="EH8"/>
  <c r="EI8"/>
  <c r="EJ8"/>
  <c r="EK8"/>
  <c r="EL8"/>
  <c r="EM8"/>
  <c r="EN8"/>
  <c r="EO8"/>
  <c r="EP8"/>
  <c r="EQ8"/>
  <c r="ER8"/>
  <c r="ES8"/>
  <c r="ET8"/>
  <c r="EU8"/>
  <c r="EV8"/>
  <c r="EW8"/>
  <c r="EX8"/>
  <c r="EY8"/>
  <c r="EZ8"/>
  <c r="FA8"/>
  <c r="FB8"/>
  <c r="FC8"/>
  <c r="FD8"/>
  <c r="FE8"/>
  <c r="FF8"/>
  <c r="FG8"/>
  <c r="FH8"/>
  <c r="FI8"/>
  <c r="FJ8"/>
  <c r="FK8"/>
  <c r="FL8"/>
  <c r="FM8"/>
  <c r="FN8"/>
  <c r="FO8"/>
  <c r="FP8"/>
  <c r="E26" i="1"/>
  <c r="F26"/>
  <c r="G26"/>
  <c r="E27"/>
  <c r="G27"/>
  <c r="N27"/>
  <c r="E29"/>
  <c r="G29"/>
  <c r="E30"/>
  <c r="G30"/>
  <c r="J30"/>
  <c r="N30" s="1"/>
  <c r="N34" s="1"/>
  <c r="N37" s="1"/>
  <c r="N14" i="2"/>
  <c r="N15"/>
  <c r="E26"/>
  <c r="F26"/>
  <c r="G26"/>
  <c r="E27"/>
  <c r="G27"/>
  <c r="N27"/>
  <c r="N37" s="1"/>
  <c r="N40" s="1"/>
  <c r="G29"/>
  <c r="G30"/>
  <c r="N30"/>
  <c r="E32"/>
  <c r="G32"/>
  <c r="E33"/>
  <c r="G33"/>
  <c r="N33"/>
</calcChain>
</file>

<file path=xl/sharedStrings.xml><?xml version="1.0" encoding="utf-8"?>
<sst xmlns="http://schemas.openxmlformats.org/spreadsheetml/2006/main" count="199" uniqueCount="58">
  <si>
    <t>CESTOVNÍ PŘÍKAZ</t>
  </si>
  <si>
    <t>Příjmení, jméno:</t>
  </si>
  <si>
    <t>Číslo účtu:</t>
  </si>
  <si>
    <t>Bydliště:</t>
  </si>
  <si>
    <t>/</t>
  </si>
  <si>
    <t>Počátek cesty</t>
  </si>
  <si>
    <t>Místo cesty</t>
  </si>
  <si>
    <t>Účel cesty</t>
  </si>
  <si>
    <t>Konec cesty</t>
  </si>
  <si>
    <t>(místo, datum, hod)</t>
  </si>
  <si>
    <t>(místo, datum)</t>
  </si>
  <si>
    <t>Č. Budějovice</t>
  </si>
  <si>
    <t>Praha</t>
  </si>
  <si>
    <t>2. liga žen</t>
  </si>
  <si>
    <t>Spolucestující:</t>
  </si>
  <si>
    <t>Použitý dopravní prostředek:</t>
  </si>
  <si>
    <t>AUV</t>
  </si>
  <si>
    <t>Druh:</t>
  </si>
  <si>
    <t>SPZ:</t>
  </si>
  <si>
    <t>* AUV - vlastní auto</t>
  </si>
  <si>
    <t xml:space="preserve">Výpočet náhrady za </t>
  </si>
  <si>
    <t>Datum</t>
  </si>
  <si>
    <t>Čas</t>
  </si>
  <si>
    <t>Místo</t>
  </si>
  <si>
    <t>Vzdálenost</t>
  </si>
  <si>
    <t>Použitá</t>
  </si>
  <si>
    <t>Vypočtená</t>
  </si>
  <si>
    <t>použití vlastního vozidla</t>
  </si>
  <si>
    <t>v km</t>
  </si>
  <si>
    <t>sazba *</t>
  </si>
  <si>
    <t>náhrada</t>
  </si>
  <si>
    <t>x</t>
  </si>
  <si>
    <t>Příjezd do místa konání</t>
  </si>
  <si>
    <t>Odjezd z místa konání</t>
  </si>
  <si>
    <t>Ukončení cesty</t>
  </si>
  <si>
    <t>* sazba 3 Kč/1 km dle interního předpisu FBC Štíři České Budějovice</t>
  </si>
  <si>
    <t>Celkem náhrada za použití vlastního vozidla</t>
  </si>
  <si>
    <t>Ostatní náklady (dle přiložených dokladů)</t>
  </si>
  <si>
    <t>Celkem k vyplacení vyúčtování pracovní cesty</t>
  </si>
  <si>
    <t>Pracovní cestu</t>
  </si>
  <si>
    <t>Prohlašuji, že všechny údaje uvedené v tomto</t>
  </si>
  <si>
    <t>Vyúčtování potvrdil</t>
  </si>
  <si>
    <t>schválil</t>
  </si>
  <si>
    <t>vyúčtování jsou pravdivé.</t>
  </si>
  <si>
    <t>a částku vyplatil</t>
  </si>
  <si>
    <t>(jméno a podpis)</t>
  </si>
  <si>
    <t>Souhlasím se sazbou za použití vlastního vozidla</t>
  </si>
  <si>
    <t>dle interního předpisu FBC Štíři Č. Budějovice.</t>
  </si>
  <si>
    <t>Jiří Kratochvíl</t>
  </si>
  <si>
    <t>(podpis)</t>
  </si>
  <si>
    <t>Petr Dědič</t>
  </si>
  <si>
    <t>Vyplněný Cestovní příkaz odevzdejte do 14 dnů od uskutečnění jízdy sekretáři klubu Jiřímu Kratochvílovi.</t>
  </si>
  <si>
    <r>
      <t>FBC ŠTÍŘI ČESKÉ BUDĚJOVICE, o.s.</t>
    </r>
    <r>
      <rPr>
        <sz val="8"/>
        <color indexed="8"/>
        <rFont val="Tahoma"/>
        <family val="2"/>
        <charset val="238"/>
      </rPr>
      <t xml:space="preserve">, </t>
    </r>
    <r>
      <rPr>
        <sz val="8"/>
        <color indexed="8"/>
        <rFont val="Exo"/>
      </rPr>
      <t>Riegrova 2670/20A, 370 01 České Budějovice
T: +420 774 544 769, E: stiricb@seznam.cz, U: www.stiricb.cz
IČO: 27000311, DIČ: 27000311, Fio banka Č. Budějovice, č. ú. 2900256297/2010</t>
    </r>
  </si>
  <si>
    <t>místo 1</t>
  </si>
  <si>
    <t>místo 2</t>
  </si>
  <si>
    <r>
      <t>FBC ŠTÍŘI ČESKÉ BUDĚJOVICE, o.s.</t>
    </r>
    <r>
      <rPr>
        <sz val="8"/>
        <rFont val="Tahoma"/>
        <family val="2"/>
        <charset val="238"/>
      </rPr>
      <t xml:space="preserve">, </t>
    </r>
    <r>
      <rPr>
        <sz val="8"/>
        <color indexed="8"/>
        <rFont val="Exo"/>
      </rPr>
      <t>Riegrova 2670/20A, 370 01 České Budějovice
T: +420 774 544 769, E: stiricb@seznam.cz, U: www.stiricb.cz
IČO: 27000311, DIČ: 27000311, Fio banka Č. Budějovice, č. ú. 2900256297/2010</t>
    </r>
  </si>
  <si>
    <t>Kč</t>
  </si>
  <si>
    <r>
      <t>FBC ŠTÍŘI ČESKÉ BUDĚJOVICE, z.s.</t>
    </r>
    <r>
      <rPr>
        <sz val="8"/>
        <rFont val="Tahoma"/>
        <family val="2"/>
        <charset val="238"/>
      </rPr>
      <t xml:space="preserve">, </t>
    </r>
    <r>
      <rPr>
        <sz val="8"/>
        <rFont val="Exo"/>
        <charset val="1"/>
      </rPr>
      <t>Riegrova 2670/20A, 370 01 České Budějovice
T: +420 774 544 769, E: stiricb@seznam.cz, U: www.stiricb.cz
IČO: 27000311, DIČ: 27000311, Fio banka Č. Budějovice, č. ú. 2900256297/2010</t>
    </r>
  </si>
</sst>
</file>

<file path=xl/styles.xml><?xml version="1.0" encoding="utf-8"?>
<styleSheet xmlns="http://schemas.openxmlformats.org/spreadsheetml/2006/main">
  <numFmts count="6">
    <numFmt numFmtId="164" formatCode="hh:mm"/>
    <numFmt numFmtId="165" formatCode="d/m/"/>
    <numFmt numFmtId="166" formatCode="#,##0.00&quot; Kč&quot;"/>
    <numFmt numFmtId="167" formatCode="mmm\ dd"/>
    <numFmt numFmtId="168" formatCode="#,##0&quot; Kč&quot;"/>
    <numFmt numFmtId="169" formatCode="d/m/yy"/>
  </numFmts>
  <fonts count="16">
    <font>
      <sz val="10"/>
      <name val="Arial CE"/>
      <family val="2"/>
      <charset val="238"/>
    </font>
    <font>
      <sz val="10"/>
      <name val="Exo"/>
      <charset val="1"/>
    </font>
    <font>
      <sz val="8"/>
      <name val="Tahoma"/>
      <family val="2"/>
      <charset val="238"/>
    </font>
    <font>
      <sz val="10"/>
      <name val="Tahoma"/>
      <family val="2"/>
      <charset val="238"/>
    </font>
    <font>
      <sz val="8"/>
      <name val="Exo"/>
      <charset val="1"/>
    </font>
    <font>
      <b/>
      <sz val="12"/>
      <name val="Exo"/>
      <charset val="1"/>
    </font>
    <font>
      <b/>
      <sz val="8"/>
      <name val="Exo"/>
      <charset val="1"/>
    </font>
    <font>
      <b/>
      <sz val="8"/>
      <name val="Tahoma"/>
      <family val="2"/>
      <charset val="238"/>
    </font>
    <font>
      <b/>
      <sz val="20"/>
      <name val="Exo"/>
      <charset val="1"/>
    </font>
    <font>
      <b/>
      <sz val="10"/>
      <name val="Exo"/>
      <charset val="1"/>
    </font>
    <font>
      <i/>
      <sz val="10"/>
      <name val="Exo"/>
      <charset val="1"/>
    </font>
    <font>
      <sz val="8"/>
      <color indexed="8"/>
      <name val="Exo"/>
      <charset val="1"/>
    </font>
    <font>
      <sz val="11"/>
      <color indexed="56"/>
      <name val="Exo"/>
      <charset val="1"/>
    </font>
    <font>
      <sz val="8"/>
      <color indexed="8"/>
      <name val="Tahoma"/>
      <family val="2"/>
      <charset val="238"/>
    </font>
    <font>
      <sz val="8"/>
      <color indexed="8"/>
      <name val="Exo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vertical="center" wrapText="1"/>
    </xf>
    <xf numFmtId="0" fontId="2" fillId="0" borderId="0" xfId="0" applyFont="1" applyBorder="1"/>
    <xf numFmtId="0" fontId="7" fillId="0" borderId="0" xfId="0" applyFont="1" applyBorder="1"/>
    <xf numFmtId="0" fontId="9" fillId="2" borderId="5" xfId="0" applyFont="1" applyFill="1" applyBorder="1" applyAlignment="1"/>
    <xf numFmtId="0" fontId="1" fillId="0" borderId="6" xfId="0" applyFont="1" applyBorder="1"/>
    <xf numFmtId="0" fontId="6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6" xfId="0" applyFont="1" applyBorder="1"/>
    <xf numFmtId="0" fontId="1" fillId="0" borderId="17" xfId="0" applyFont="1" applyBorder="1"/>
    <xf numFmtId="0" fontId="9" fillId="0" borderId="1" xfId="0" applyFont="1" applyBorder="1" applyAlignment="1">
      <alignment horizontal="center" vertical="center"/>
    </xf>
    <xf numFmtId="0" fontId="1" fillId="0" borderId="0" xfId="0" applyFont="1" applyBorder="1"/>
    <xf numFmtId="0" fontId="9" fillId="0" borderId="6" xfId="0" applyFont="1" applyBorder="1"/>
    <xf numFmtId="0" fontId="1" fillId="0" borderId="7" xfId="0" applyFont="1" applyBorder="1"/>
    <xf numFmtId="0" fontId="9" fillId="0" borderId="9" xfId="0" applyFont="1" applyBorder="1"/>
    <xf numFmtId="0" fontId="1" fillId="0" borderId="10" xfId="0" applyFont="1" applyBorder="1"/>
    <xf numFmtId="165" fontId="6" fillId="0" borderId="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67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3" xfId="0" applyFont="1" applyBorder="1" applyAlignment="1"/>
    <xf numFmtId="0" fontId="1" fillId="0" borderId="5" xfId="0" applyFont="1" applyBorder="1" applyAlignment="1"/>
    <xf numFmtId="0" fontId="1" fillId="0" borderId="0" xfId="0" applyFont="1" applyFill="1" applyAlignment="1"/>
    <xf numFmtId="164" fontId="6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7" xfId="0" applyFont="1" applyBorder="1" applyAlignment="1"/>
    <xf numFmtId="0" fontId="1" fillId="0" borderId="0" xfId="0" applyFont="1" applyAlignment="1"/>
    <xf numFmtId="0" fontId="1" fillId="0" borderId="0" xfId="0" applyFont="1" applyBorder="1" applyAlignment="1"/>
    <xf numFmtId="0" fontId="1" fillId="0" borderId="4" xfId="0" applyFont="1" applyBorder="1"/>
    <xf numFmtId="0" fontId="1" fillId="0" borderId="3" xfId="0" applyFont="1" applyBorder="1"/>
    <xf numFmtId="166" fontId="9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4" fillId="0" borderId="19" xfId="0" applyFont="1" applyBorder="1"/>
    <xf numFmtId="0" fontId="9" fillId="0" borderId="19" xfId="0" applyFont="1" applyBorder="1"/>
    <xf numFmtId="0" fontId="9" fillId="0" borderId="0" xfId="0" applyFont="1" applyBorder="1"/>
    <xf numFmtId="0" fontId="4" fillId="0" borderId="9" xfId="0" applyFont="1" applyBorder="1"/>
    <xf numFmtId="14" fontId="9" fillId="0" borderId="10" xfId="0" applyNumberFormat="1" applyFont="1" applyBorder="1" applyAlignment="1">
      <alignment horizontal="center"/>
    </xf>
    <xf numFmtId="0" fontId="4" fillId="0" borderId="10" xfId="0" applyFont="1" applyBorder="1"/>
    <xf numFmtId="14" fontId="9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165" fontId="6" fillId="2" borderId="1" xfId="0" applyNumberFormat="1" applyFont="1" applyFill="1" applyBorder="1" applyAlignment="1">
      <alignment horizontal="center"/>
    </xf>
    <xf numFmtId="0" fontId="9" fillId="0" borderId="5" xfId="0" applyFont="1" applyFill="1" applyBorder="1" applyAlignment="1"/>
    <xf numFmtId="169" fontId="9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/>
    <xf numFmtId="0" fontId="0" fillId="0" borderId="0" xfId="0" applyNumberFormat="1"/>
    <xf numFmtId="0" fontId="6" fillId="0" borderId="0" xfId="0" applyFont="1" applyBorder="1"/>
    <xf numFmtId="0" fontId="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/>
    <xf numFmtId="0" fontId="9" fillId="2" borderId="1" xfId="0" applyFont="1" applyFill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9" fillId="0" borderId="1" xfId="0" applyNumberFormat="1" applyFont="1" applyFill="1" applyBorder="1" applyAlignment="1">
      <alignment horizontal="right"/>
    </xf>
    <xf numFmtId="168" fontId="9" fillId="0" borderId="18" xfId="0" applyNumberFormat="1" applyFont="1" applyFill="1" applyBorder="1" applyAlignment="1">
      <alignment horizontal="right"/>
    </xf>
    <xf numFmtId="14" fontId="9" fillId="0" borderId="1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0" borderId="1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38100</xdr:rowOff>
    </xdr:to>
    <xdr:pic>
      <xdr:nvPicPr>
        <xdr:cNvPr id="1025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2950" cy="7239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38100</xdr:rowOff>
    </xdr:to>
    <xdr:pic>
      <xdr:nvPicPr>
        <xdr:cNvPr id="2049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2950" cy="7239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361950</xdr:colOff>
      <xdr:row>5</xdr:row>
      <xdr:rowOff>38100</xdr:rowOff>
    </xdr:to>
    <xdr:pic>
      <xdr:nvPicPr>
        <xdr:cNvPr id="3073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2950" cy="7239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="155" zoomScaleNormal="155" workbookViewId="0">
      <selection activeCell="D6" sqref="D6"/>
    </sheetView>
  </sheetViews>
  <sheetFormatPr defaultRowHeight="12.75"/>
  <cols>
    <col min="1" max="4" width="5.7109375" style="1" customWidth="1"/>
    <col min="5" max="6" width="6.7109375" style="1" customWidth="1"/>
    <col min="7" max="8" width="5.7109375" style="1" customWidth="1"/>
    <col min="9" max="9" width="6.7109375" style="1" customWidth="1"/>
    <col min="10" max="13" width="5.7109375" style="1" customWidth="1"/>
    <col min="14" max="15" width="6.7109375" style="1" customWidth="1"/>
    <col min="16" max="16" width="3.42578125" style="2" customWidth="1"/>
    <col min="17" max="27" width="5.7109375" style="3" customWidth="1"/>
    <col min="28" max="16384" width="9.140625" style="3"/>
  </cols>
  <sheetData>
    <row r="1" spans="1:15" s="6" customFormat="1" ht="3" customHeight="1">
      <c r="A1" s="1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7" customFormat="1" ht="12.75" customHeight="1">
      <c r="A2" s="61"/>
      <c r="B2" s="61"/>
      <c r="C2" s="61"/>
      <c r="D2" s="62" t="s">
        <v>57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7" customFormat="1" ht="12.75" customHeight="1">
      <c r="A3" s="61"/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7" customFormat="1" ht="12.75" customHeight="1">
      <c r="A4" s="61"/>
      <c r="B4" s="61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s="7" customFormat="1" ht="12.75" customHeight="1">
      <c r="A5" s="61"/>
      <c r="B5" s="61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7" spans="1:15" ht="26.25">
      <c r="A7" s="63" t="s">
        <v>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4.1" customHeight="1"/>
    <row r="9" spans="1:15" ht="18" customHeight="1">
      <c r="A9" s="64" t="s">
        <v>1</v>
      </c>
      <c r="B9" s="64"/>
      <c r="C9" s="64"/>
      <c r="D9" s="65"/>
      <c r="E9" s="65"/>
      <c r="F9" s="65"/>
      <c r="G9" s="65"/>
      <c r="H9" s="65"/>
      <c r="I9" s="65"/>
      <c r="J9" s="66" t="s">
        <v>2</v>
      </c>
      <c r="K9" s="66"/>
      <c r="L9" s="66"/>
      <c r="M9" s="66"/>
      <c r="N9" s="66"/>
      <c r="O9" s="66"/>
    </row>
    <row r="10" spans="1:15" ht="18" customHeight="1">
      <c r="A10" s="64" t="s">
        <v>3</v>
      </c>
      <c r="B10" s="64"/>
      <c r="C10" s="67"/>
      <c r="D10" s="67"/>
      <c r="E10" s="67"/>
      <c r="F10" s="67"/>
      <c r="G10" s="67"/>
      <c r="H10" s="67"/>
      <c r="I10" s="67"/>
      <c r="J10" s="68"/>
      <c r="K10" s="68"/>
      <c r="L10" s="68"/>
      <c r="M10" s="68"/>
      <c r="N10" s="68"/>
      <c r="O10" s="8" t="s">
        <v>4</v>
      </c>
    </row>
    <row r="11" spans="1:15" ht="14.1" customHeight="1"/>
    <row r="12" spans="1:15" ht="14.1" customHeight="1">
      <c r="A12" s="9"/>
      <c r="B12" s="10" t="s">
        <v>5</v>
      </c>
      <c r="C12" s="11"/>
      <c r="D12" s="69" t="s">
        <v>6</v>
      </c>
      <c r="E12" s="69"/>
      <c r="F12" s="69"/>
      <c r="G12" s="69"/>
      <c r="H12" s="69"/>
      <c r="I12" s="69" t="s">
        <v>7</v>
      </c>
      <c r="J12" s="69"/>
      <c r="K12" s="69"/>
      <c r="L12" s="69"/>
      <c r="M12" s="69"/>
      <c r="N12" s="70" t="s">
        <v>8</v>
      </c>
      <c r="O12" s="70"/>
    </row>
    <row r="13" spans="1:15" ht="14.1" customHeight="1">
      <c r="A13" s="12"/>
      <c r="B13" s="13" t="s">
        <v>9</v>
      </c>
      <c r="C13" s="14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1" t="s">
        <v>10</v>
      </c>
      <c r="O13" s="71"/>
    </row>
    <row r="14" spans="1:15" ht="15" customHeight="1">
      <c r="A14" s="72" t="s">
        <v>11</v>
      </c>
      <c r="B14" s="72"/>
      <c r="C14" s="72"/>
      <c r="D14" s="65" t="s">
        <v>12</v>
      </c>
      <c r="E14" s="65"/>
      <c r="F14" s="65"/>
      <c r="G14" s="65"/>
      <c r="H14" s="65"/>
      <c r="I14" s="73" t="s">
        <v>13</v>
      </c>
      <c r="J14" s="73"/>
      <c r="K14" s="73"/>
      <c r="L14" s="73"/>
      <c r="M14" s="73"/>
      <c r="N14" s="74" t="s">
        <v>11</v>
      </c>
      <c r="O14" s="74"/>
    </row>
    <row r="15" spans="1:15" ht="15" customHeight="1">
      <c r="A15" s="75">
        <v>42005</v>
      </c>
      <c r="B15" s="75"/>
      <c r="C15" s="75"/>
      <c r="D15" s="65"/>
      <c r="E15" s="65"/>
      <c r="F15" s="65"/>
      <c r="G15" s="65"/>
      <c r="H15" s="65"/>
      <c r="I15" s="73"/>
      <c r="J15" s="73"/>
      <c r="K15" s="73"/>
      <c r="L15" s="73"/>
      <c r="M15" s="73"/>
      <c r="N15" s="76"/>
      <c r="O15" s="76"/>
    </row>
    <row r="16" spans="1:15" ht="15" customHeight="1">
      <c r="A16" s="77">
        <v>0.33333333333333331</v>
      </c>
      <c r="B16" s="77"/>
      <c r="C16" s="77"/>
      <c r="D16" s="65"/>
      <c r="E16" s="65"/>
      <c r="F16" s="65"/>
      <c r="G16" s="65"/>
      <c r="H16" s="65"/>
      <c r="I16" s="73"/>
      <c r="J16" s="73"/>
      <c r="K16" s="73"/>
      <c r="L16" s="73"/>
      <c r="M16" s="73"/>
      <c r="N16" s="15"/>
      <c r="O16" s="16"/>
    </row>
    <row r="17" spans="1:15" ht="14.1" customHeight="1"/>
    <row r="18" spans="1:15" ht="17.25" customHeight="1">
      <c r="A18" s="78" t="s">
        <v>14</v>
      </c>
      <c r="B18" s="78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1:15" ht="17.25" customHeight="1">
      <c r="A19" s="78"/>
      <c r="B19" s="78"/>
      <c r="C19" s="78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5" ht="14.1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25.5" customHeight="1">
      <c r="A21" s="81" t="s">
        <v>15</v>
      </c>
      <c r="B21" s="81"/>
      <c r="C21" s="81"/>
      <c r="D21" s="82" t="s">
        <v>16</v>
      </c>
      <c r="E21" s="82"/>
      <c r="F21" s="17" t="s">
        <v>17</v>
      </c>
      <c r="G21" s="65"/>
      <c r="H21" s="65"/>
      <c r="I21" s="65"/>
      <c r="J21" s="65"/>
      <c r="K21" s="65"/>
      <c r="L21" s="17" t="s">
        <v>18</v>
      </c>
      <c r="M21" s="65"/>
      <c r="N21" s="65"/>
      <c r="O21" s="65"/>
    </row>
    <row r="22" spans="1:15" ht="13.5" customHeight="1">
      <c r="A22" s="4" t="s">
        <v>19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4.1" customHeight="1"/>
    <row r="24" spans="1:15" ht="14.1" customHeight="1">
      <c r="A24" s="19" t="s">
        <v>20</v>
      </c>
      <c r="B24" s="20"/>
      <c r="C24" s="20"/>
      <c r="D24" s="20"/>
      <c r="E24" s="69" t="s">
        <v>21</v>
      </c>
      <c r="F24" s="69" t="s">
        <v>22</v>
      </c>
      <c r="G24" s="83" t="s">
        <v>23</v>
      </c>
      <c r="H24" s="83"/>
      <c r="I24" s="83"/>
      <c r="J24" s="84" t="s">
        <v>24</v>
      </c>
      <c r="K24" s="84"/>
      <c r="L24" s="85" t="s">
        <v>25</v>
      </c>
      <c r="M24" s="85"/>
      <c r="N24" s="85" t="s">
        <v>26</v>
      </c>
      <c r="O24" s="85"/>
    </row>
    <row r="25" spans="1:15" ht="14.1" customHeight="1">
      <c r="A25" s="21" t="s">
        <v>27</v>
      </c>
      <c r="B25" s="22"/>
      <c r="C25" s="22"/>
      <c r="D25" s="22"/>
      <c r="E25" s="69"/>
      <c r="F25" s="69"/>
      <c r="G25" s="83"/>
      <c r="H25" s="83"/>
      <c r="I25" s="83"/>
      <c r="J25" s="86" t="s">
        <v>28</v>
      </c>
      <c r="K25" s="86"/>
      <c r="L25" s="87" t="s">
        <v>29</v>
      </c>
      <c r="M25" s="87"/>
      <c r="N25" s="87" t="s">
        <v>30</v>
      </c>
      <c r="O25" s="87"/>
    </row>
    <row r="26" spans="1:15" ht="15" customHeight="1">
      <c r="A26" s="88" t="s">
        <v>5</v>
      </c>
      <c r="B26" s="88"/>
      <c r="C26" s="88"/>
      <c r="D26" s="88"/>
      <c r="E26" s="23">
        <f>A15</f>
        <v>42005</v>
      </c>
      <c r="F26" s="24">
        <f>+A16</f>
        <v>0.33333333333333331</v>
      </c>
      <c r="G26" s="89" t="str">
        <f>A14</f>
        <v>Č. Budějovice</v>
      </c>
      <c r="H26" s="89"/>
      <c r="I26" s="89"/>
      <c r="J26" s="90" t="s">
        <v>31</v>
      </c>
      <c r="K26" s="90"/>
      <c r="L26" s="91" t="s">
        <v>31</v>
      </c>
      <c r="M26" s="91"/>
      <c r="N26" s="91" t="s">
        <v>31</v>
      </c>
      <c r="O26" s="91"/>
    </row>
    <row r="27" spans="1:15" ht="15" customHeight="1">
      <c r="A27" s="92" t="s">
        <v>32</v>
      </c>
      <c r="B27" s="92"/>
      <c r="C27" s="92"/>
      <c r="D27" s="92"/>
      <c r="E27" s="23">
        <f>A15</f>
        <v>42005</v>
      </c>
      <c r="F27" s="26">
        <v>0</v>
      </c>
      <c r="G27" s="89" t="str">
        <f>D14</f>
        <v>Praha</v>
      </c>
      <c r="H27" s="89"/>
      <c r="I27" s="89"/>
      <c r="J27" s="93">
        <v>0</v>
      </c>
      <c r="K27" s="93"/>
      <c r="L27" s="94">
        <v>3</v>
      </c>
      <c r="M27" s="94"/>
      <c r="N27" s="95">
        <f>J27*L27</f>
        <v>0</v>
      </c>
      <c r="O27" s="95"/>
    </row>
    <row r="28" spans="1:15" ht="14.1" customHeight="1">
      <c r="E28" s="27"/>
      <c r="F28" s="28"/>
      <c r="G28" s="29"/>
      <c r="H28" s="30"/>
      <c r="I28" s="30"/>
      <c r="J28" s="30"/>
      <c r="K28" s="30"/>
      <c r="L28" s="31"/>
      <c r="M28" s="32"/>
      <c r="N28" s="33"/>
      <c r="O28" s="33"/>
    </row>
    <row r="29" spans="1:15" ht="15" customHeight="1">
      <c r="A29" s="92" t="s">
        <v>33</v>
      </c>
      <c r="B29" s="92"/>
      <c r="C29" s="92"/>
      <c r="D29" s="92"/>
      <c r="E29" s="23">
        <f>A15</f>
        <v>42005</v>
      </c>
      <c r="F29" s="34">
        <v>0</v>
      </c>
      <c r="G29" s="89" t="str">
        <f>D14</f>
        <v>Praha</v>
      </c>
      <c r="H29" s="89"/>
      <c r="I29" s="89"/>
      <c r="J29" s="90" t="s">
        <v>31</v>
      </c>
      <c r="K29" s="90"/>
      <c r="L29" s="91" t="s">
        <v>31</v>
      </c>
      <c r="M29" s="91"/>
      <c r="N29" s="90" t="s">
        <v>31</v>
      </c>
      <c r="O29" s="90"/>
    </row>
    <row r="30" spans="1:15" ht="15" customHeight="1">
      <c r="A30" s="92" t="s">
        <v>34</v>
      </c>
      <c r="B30" s="92"/>
      <c r="C30" s="92"/>
      <c r="D30" s="92"/>
      <c r="E30" s="23">
        <f>A15</f>
        <v>42005</v>
      </c>
      <c r="F30" s="34">
        <v>0</v>
      </c>
      <c r="G30" s="89" t="str">
        <f>A14</f>
        <v>Č. Budějovice</v>
      </c>
      <c r="H30" s="89"/>
      <c r="I30" s="89"/>
      <c r="J30" s="96">
        <f>+J27</f>
        <v>0</v>
      </c>
      <c r="K30" s="96"/>
      <c r="L30" s="97">
        <v>3</v>
      </c>
      <c r="M30" s="97"/>
      <c r="N30" s="95">
        <f>J30*L30</f>
        <v>0</v>
      </c>
      <c r="O30" s="95"/>
    </row>
    <row r="31" spans="1:15" ht="13.5" customHeight="1">
      <c r="A31" s="35" t="s">
        <v>35</v>
      </c>
      <c r="L31" s="36"/>
      <c r="M31" s="36"/>
      <c r="N31" s="37"/>
      <c r="O31" s="37"/>
    </row>
    <row r="32" spans="1:15" ht="12" customHeight="1">
      <c r="A32" s="35"/>
      <c r="L32" s="38"/>
      <c r="M32" s="38"/>
      <c r="N32" s="37"/>
      <c r="O32" s="37"/>
    </row>
    <row r="33" spans="1:19" ht="12" customHeight="1"/>
    <row r="34" spans="1:19" ht="16.5" customHeight="1">
      <c r="A34" s="39" t="s">
        <v>36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98">
        <f>N27+N30</f>
        <v>0</v>
      </c>
      <c r="O34" s="98"/>
    </row>
    <row r="35" spans="1:19" ht="16.5" customHeight="1">
      <c r="A35" s="39" t="s">
        <v>37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98">
        <v>0</v>
      </c>
      <c r="O35" s="98"/>
    </row>
    <row r="36" spans="1:19" ht="14.1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41"/>
      <c r="O36" s="41"/>
    </row>
    <row r="37" spans="1:19" ht="16.5" customHeight="1">
      <c r="A37" s="39" t="s">
        <v>38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99">
        <f>N34+N35</f>
        <v>0</v>
      </c>
      <c r="O37" s="99"/>
    </row>
    <row r="38" spans="1:19" ht="12" customHeight="1"/>
    <row r="39" spans="1:19" ht="12" customHeight="1">
      <c r="R39" s="42"/>
      <c r="S39" s="43"/>
    </row>
    <row r="40" spans="1:19" ht="14.1" customHeight="1">
      <c r="A40" s="9" t="s">
        <v>39</v>
      </c>
      <c r="B40" s="20"/>
      <c r="C40" s="20"/>
      <c r="D40" s="20"/>
      <c r="E40" s="9" t="s">
        <v>40</v>
      </c>
      <c r="F40" s="20"/>
      <c r="G40" s="20"/>
      <c r="H40" s="20"/>
      <c r="I40" s="20"/>
      <c r="J40" s="20"/>
      <c r="K40" s="11"/>
      <c r="L40" s="20" t="s">
        <v>41</v>
      </c>
      <c r="M40" s="20"/>
      <c r="N40" s="20"/>
      <c r="O40" s="11"/>
      <c r="R40" s="44"/>
      <c r="S40" s="43"/>
    </row>
    <row r="41" spans="1:19" ht="14.1" customHeight="1">
      <c r="A41" s="45" t="s">
        <v>42</v>
      </c>
      <c r="B41" s="18"/>
      <c r="C41" s="18"/>
      <c r="D41" s="18"/>
      <c r="E41" s="45" t="s">
        <v>43</v>
      </c>
      <c r="F41" s="18"/>
      <c r="G41" s="18"/>
      <c r="H41" s="18"/>
      <c r="I41" s="18"/>
      <c r="J41" s="18"/>
      <c r="K41" s="46"/>
      <c r="L41" s="18" t="s">
        <v>44</v>
      </c>
      <c r="M41" s="18"/>
      <c r="N41" s="18"/>
      <c r="O41" s="46"/>
    </row>
    <row r="42" spans="1:19" ht="14.1" customHeight="1">
      <c r="A42" s="47" t="s">
        <v>45</v>
      </c>
      <c r="B42" s="18"/>
      <c r="C42" s="18"/>
      <c r="D42" s="18"/>
      <c r="E42" s="45" t="s">
        <v>46</v>
      </c>
      <c r="F42" s="18"/>
      <c r="G42" s="18"/>
      <c r="H42" s="18"/>
      <c r="I42" s="18"/>
      <c r="J42" s="18"/>
      <c r="K42" s="46"/>
      <c r="L42" s="4" t="s">
        <v>45</v>
      </c>
      <c r="M42" s="18"/>
      <c r="N42" s="18"/>
      <c r="O42" s="46"/>
    </row>
    <row r="43" spans="1:19" ht="14.1" customHeight="1">
      <c r="A43" s="48"/>
      <c r="B43" s="18"/>
      <c r="C43" s="18"/>
      <c r="D43" s="18"/>
      <c r="E43" s="45" t="s">
        <v>47</v>
      </c>
      <c r="F43" s="18"/>
      <c r="G43" s="18"/>
      <c r="H43" s="18"/>
      <c r="I43" s="18"/>
      <c r="J43" s="18"/>
      <c r="K43" s="46"/>
      <c r="L43" s="49"/>
      <c r="M43" s="18"/>
      <c r="N43" s="18"/>
      <c r="O43" s="46"/>
    </row>
    <row r="44" spans="1:19" ht="14.1" customHeight="1">
      <c r="A44" s="48" t="s">
        <v>48</v>
      </c>
      <c r="B44" s="18"/>
      <c r="C44" s="18"/>
      <c r="D44" s="18"/>
      <c r="E44" s="47" t="s">
        <v>49</v>
      </c>
      <c r="F44" s="18"/>
      <c r="G44" s="18"/>
      <c r="H44" s="18"/>
      <c r="I44" s="18"/>
      <c r="J44" s="18"/>
      <c r="K44" s="46"/>
      <c r="L44" s="49" t="s">
        <v>50</v>
      </c>
      <c r="M44" s="18"/>
      <c r="N44" s="18"/>
      <c r="O44" s="46"/>
    </row>
    <row r="45" spans="1:19" ht="14.1" customHeight="1">
      <c r="A45" s="48"/>
      <c r="B45" s="18"/>
      <c r="C45" s="18"/>
      <c r="D45" s="18"/>
      <c r="E45" s="47"/>
      <c r="F45" s="18"/>
      <c r="G45" s="18"/>
      <c r="H45" s="18"/>
      <c r="I45" s="18"/>
      <c r="J45" s="18"/>
      <c r="K45" s="46"/>
      <c r="L45" s="49"/>
      <c r="M45" s="18"/>
      <c r="N45" s="18"/>
      <c r="O45" s="46"/>
    </row>
    <row r="46" spans="1:19" ht="14.1" customHeight="1">
      <c r="A46" s="45"/>
      <c r="B46" s="18"/>
      <c r="C46" s="18"/>
      <c r="D46" s="18"/>
      <c r="E46" s="45"/>
      <c r="F46" s="18"/>
      <c r="G46" s="18"/>
      <c r="H46" s="18"/>
      <c r="I46" s="18"/>
      <c r="J46" s="18"/>
      <c r="K46" s="46"/>
      <c r="L46" s="18"/>
      <c r="M46" s="18"/>
      <c r="N46" s="18"/>
      <c r="O46" s="46"/>
    </row>
    <row r="47" spans="1:19" ht="14.1" customHeight="1">
      <c r="A47" s="50" t="s">
        <v>21</v>
      </c>
      <c r="B47" s="22"/>
      <c r="C47" s="51"/>
      <c r="D47" s="51"/>
      <c r="E47" s="50" t="s">
        <v>21</v>
      </c>
      <c r="F47" s="22"/>
      <c r="G47" s="100"/>
      <c r="H47" s="100"/>
      <c r="I47" s="22"/>
      <c r="J47" s="22"/>
      <c r="K47" s="14"/>
      <c r="L47" s="52" t="s">
        <v>21</v>
      </c>
      <c r="M47" s="22"/>
      <c r="N47" s="51"/>
      <c r="O47" s="53"/>
    </row>
    <row r="48" spans="1:19">
      <c r="A48" s="101" t="s">
        <v>51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:4">
      <c r="D49" s="54"/>
    </row>
    <row r="50" spans="1:4" ht="14.25">
      <c r="A50" s="55"/>
      <c r="D50" s="54"/>
    </row>
  </sheetData>
  <sheetProtection selectLockedCells="1" selectUnlockedCells="1"/>
  <mergeCells count="61">
    <mergeCell ref="N34:O34"/>
    <mergeCell ref="N35:O35"/>
    <mergeCell ref="N37:O37"/>
    <mergeCell ref="G47:H47"/>
    <mergeCell ref="A48:O48"/>
    <mergeCell ref="A29:D29"/>
    <mergeCell ref="G29:I29"/>
    <mergeCell ref="J29:K29"/>
    <mergeCell ref="L29:M29"/>
    <mergeCell ref="N29:O29"/>
    <mergeCell ref="A30:D30"/>
    <mergeCell ref="G30:I30"/>
    <mergeCell ref="J30:K30"/>
    <mergeCell ref="L30:M30"/>
    <mergeCell ref="N30:O30"/>
    <mergeCell ref="A26:D26"/>
    <mergeCell ref="G26:I26"/>
    <mergeCell ref="J26:K26"/>
    <mergeCell ref="L26:M26"/>
    <mergeCell ref="N26:O26"/>
    <mergeCell ref="A27:D27"/>
    <mergeCell ref="G27:I27"/>
    <mergeCell ref="J27:K27"/>
    <mergeCell ref="L27:M27"/>
    <mergeCell ref="N27:O27"/>
    <mergeCell ref="E24:E25"/>
    <mergeCell ref="F24:F25"/>
    <mergeCell ref="G24:I25"/>
    <mergeCell ref="J24:K24"/>
    <mergeCell ref="L24:M24"/>
    <mergeCell ref="N24:O24"/>
    <mergeCell ref="J25:K25"/>
    <mergeCell ref="L25:M25"/>
    <mergeCell ref="N25:O25"/>
    <mergeCell ref="A18:C19"/>
    <mergeCell ref="D18:O18"/>
    <mergeCell ref="D19:O19"/>
    <mergeCell ref="A21:C21"/>
    <mergeCell ref="D21:E21"/>
    <mergeCell ref="G21:K21"/>
    <mergeCell ref="M21:O21"/>
    <mergeCell ref="A14:C14"/>
    <mergeCell ref="D14:H16"/>
    <mergeCell ref="I14:M16"/>
    <mergeCell ref="N14:O14"/>
    <mergeCell ref="A15:C15"/>
    <mergeCell ref="N15:O15"/>
    <mergeCell ref="A16:C16"/>
    <mergeCell ref="A10:B10"/>
    <mergeCell ref="C10:I10"/>
    <mergeCell ref="J10:N10"/>
    <mergeCell ref="D12:H13"/>
    <mergeCell ref="I12:M13"/>
    <mergeCell ref="N12:O12"/>
    <mergeCell ref="N13:O13"/>
    <mergeCell ref="A2:C5"/>
    <mergeCell ref="D2:O5"/>
    <mergeCell ref="A7:O7"/>
    <mergeCell ref="A9:C9"/>
    <mergeCell ref="D9:I9"/>
    <mergeCell ref="J9:O9"/>
  </mergeCells>
  <printOptions horizontalCentered="1" verticalCentered="1"/>
  <pageMargins left="0.35416666666666669" right="0.35416666666666669" top="0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155" zoomScaleNormal="155" workbookViewId="0">
      <selection activeCell="R3" sqref="R3"/>
    </sheetView>
  </sheetViews>
  <sheetFormatPr defaultRowHeight="12.75"/>
  <cols>
    <col min="1" max="4" width="5.7109375" style="1" customWidth="1"/>
    <col min="5" max="6" width="6.7109375" style="1" customWidth="1"/>
    <col min="7" max="8" width="5.7109375" style="1" customWidth="1"/>
    <col min="9" max="9" width="6.7109375" style="1" customWidth="1"/>
    <col min="10" max="13" width="5.7109375" style="1" customWidth="1"/>
    <col min="14" max="15" width="6.7109375" style="1" customWidth="1"/>
    <col min="16" max="16" width="3.42578125" style="2" customWidth="1"/>
    <col min="17" max="27" width="5.7109375" style="3" customWidth="1"/>
    <col min="28" max="16384" width="9.140625" style="3"/>
  </cols>
  <sheetData>
    <row r="1" spans="1:15" s="6" customFormat="1" ht="3" customHeight="1">
      <c r="A1" s="1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7" customFormat="1" ht="12.75" customHeight="1">
      <c r="A2" s="61"/>
      <c r="B2" s="61"/>
      <c r="C2" s="61"/>
      <c r="D2" s="62" t="s">
        <v>52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7" customFormat="1" ht="12.75" customHeight="1">
      <c r="A3" s="61"/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7" customFormat="1" ht="12.75" customHeight="1">
      <c r="A4" s="61"/>
      <c r="B4" s="61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s="7" customFormat="1" ht="12.75" customHeight="1">
      <c r="A5" s="61"/>
      <c r="B5" s="61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7" spans="1:15" ht="26.25">
      <c r="A7" s="102" t="s">
        <v>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4.1" customHeight="1"/>
    <row r="9" spans="1:15" ht="18" customHeight="1">
      <c r="A9" s="64" t="s">
        <v>1</v>
      </c>
      <c r="B9" s="64"/>
      <c r="C9" s="64"/>
      <c r="D9" s="65"/>
      <c r="E9" s="65"/>
      <c r="F9" s="65"/>
      <c r="G9" s="65"/>
      <c r="H9" s="65"/>
      <c r="I9" s="65"/>
      <c r="J9" s="66" t="s">
        <v>2</v>
      </c>
      <c r="K9" s="66"/>
      <c r="L9" s="66"/>
      <c r="M9" s="66"/>
      <c r="N9" s="66"/>
      <c r="O9" s="66"/>
    </row>
    <row r="10" spans="1:15" ht="18" customHeight="1">
      <c r="A10" s="64" t="s">
        <v>3</v>
      </c>
      <c r="B10" s="64"/>
      <c r="C10" s="67"/>
      <c r="D10" s="67"/>
      <c r="E10" s="67"/>
      <c r="F10" s="67"/>
      <c r="G10" s="67"/>
      <c r="H10" s="67"/>
      <c r="I10" s="67"/>
      <c r="J10" s="68"/>
      <c r="K10" s="68"/>
      <c r="L10" s="68"/>
      <c r="M10" s="68"/>
      <c r="N10" s="68"/>
      <c r="O10" s="8" t="s">
        <v>4</v>
      </c>
    </row>
    <row r="11" spans="1:15" ht="14.1" customHeight="1"/>
    <row r="12" spans="1:15" ht="14.1" customHeight="1">
      <c r="A12" s="9"/>
      <c r="B12" s="10" t="s">
        <v>5</v>
      </c>
      <c r="C12" s="11"/>
      <c r="D12" s="69" t="s">
        <v>6</v>
      </c>
      <c r="E12" s="69"/>
      <c r="F12" s="69"/>
      <c r="G12" s="69"/>
      <c r="H12" s="69"/>
      <c r="I12" s="69" t="s">
        <v>7</v>
      </c>
      <c r="J12" s="69"/>
      <c r="K12" s="69"/>
      <c r="L12" s="69"/>
      <c r="M12" s="69"/>
      <c r="N12" s="70" t="s">
        <v>8</v>
      </c>
      <c r="O12" s="70"/>
    </row>
    <row r="13" spans="1:15" ht="14.1" customHeight="1">
      <c r="A13" s="12"/>
      <c r="B13" s="13" t="s">
        <v>9</v>
      </c>
      <c r="C13" s="14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1" t="s">
        <v>10</v>
      </c>
      <c r="O13" s="71"/>
    </row>
    <row r="14" spans="1:15" ht="15" customHeight="1">
      <c r="A14" s="72" t="s">
        <v>11</v>
      </c>
      <c r="B14" s="72"/>
      <c r="C14" s="72"/>
      <c r="D14" s="103" t="s">
        <v>53</v>
      </c>
      <c r="E14" s="103"/>
      <c r="F14" s="103"/>
      <c r="G14" s="103"/>
      <c r="H14" s="103"/>
      <c r="I14" s="65"/>
      <c r="J14" s="65"/>
      <c r="K14" s="65"/>
      <c r="L14" s="65"/>
      <c r="M14" s="65"/>
      <c r="N14" s="72" t="str">
        <f>A14</f>
        <v>Č. Budějovice</v>
      </c>
      <c r="O14" s="72"/>
    </row>
    <row r="15" spans="1:15" ht="15" customHeight="1">
      <c r="A15" s="75">
        <v>41640</v>
      </c>
      <c r="B15" s="75"/>
      <c r="C15" s="75"/>
      <c r="D15" s="104" t="s">
        <v>54</v>
      </c>
      <c r="E15" s="104"/>
      <c r="F15" s="104"/>
      <c r="G15" s="104"/>
      <c r="H15" s="104"/>
      <c r="I15" s="65"/>
      <c r="J15" s="65"/>
      <c r="K15" s="65"/>
      <c r="L15" s="65"/>
      <c r="M15" s="65"/>
      <c r="N15" s="76">
        <f>A15+1</f>
        <v>41641</v>
      </c>
      <c r="O15" s="76"/>
    </row>
    <row r="16" spans="1:15" ht="15" customHeight="1">
      <c r="A16" s="77">
        <v>0.33333333333333331</v>
      </c>
      <c r="B16" s="77"/>
      <c r="C16" s="77"/>
      <c r="D16" s="104"/>
      <c r="E16" s="104"/>
      <c r="F16" s="104"/>
      <c r="G16" s="104"/>
      <c r="H16" s="104"/>
      <c r="I16" s="65"/>
      <c r="J16" s="65"/>
      <c r="K16" s="65"/>
      <c r="L16" s="65"/>
      <c r="M16" s="65"/>
      <c r="N16" s="15"/>
      <c r="O16" s="16"/>
    </row>
    <row r="17" spans="1:19" ht="14.1" customHeight="1"/>
    <row r="18" spans="1:19" ht="17.25" customHeight="1">
      <c r="A18" s="78" t="s">
        <v>14</v>
      </c>
      <c r="B18" s="78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1:19" ht="17.25" customHeight="1">
      <c r="A19" s="78"/>
      <c r="B19" s="78"/>
      <c r="C19" s="78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9" ht="14.1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9" ht="25.5" customHeight="1">
      <c r="A21" s="81" t="s">
        <v>15</v>
      </c>
      <c r="B21" s="81"/>
      <c r="C21" s="81"/>
      <c r="D21" s="82" t="s">
        <v>16</v>
      </c>
      <c r="E21" s="82"/>
      <c r="F21" s="17" t="s">
        <v>17</v>
      </c>
      <c r="G21" s="65"/>
      <c r="H21" s="65"/>
      <c r="I21" s="65"/>
      <c r="J21" s="65"/>
      <c r="K21" s="65"/>
      <c r="L21" s="17" t="s">
        <v>18</v>
      </c>
      <c r="M21" s="65"/>
      <c r="N21" s="65"/>
      <c r="O21" s="65"/>
    </row>
    <row r="22" spans="1:19" ht="13.5" customHeight="1">
      <c r="A22" s="4" t="s">
        <v>19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9" ht="14.1" customHeight="1"/>
    <row r="24" spans="1:19" ht="14.1" customHeight="1">
      <c r="A24" s="19" t="s">
        <v>20</v>
      </c>
      <c r="B24" s="20"/>
      <c r="C24" s="20"/>
      <c r="D24" s="20"/>
      <c r="E24" s="69" t="s">
        <v>21</v>
      </c>
      <c r="F24" s="69" t="s">
        <v>22</v>
      </c>
      <c r="G24" s="83" t="s">
        <v>23</v>
      </c>
      <c r="H24" s="83"/>
      <c r="I24" s="83"/>
      <c r="J24" s="84" t="s">
        <v>24</v>
      </c>
      <c r="K24" s="84"/>
      <c r="L24" s="85" t="s">
        <v>25</v>
      </c>
      <c r="M24" s="85"/>
      <c r="N24" s="85" t="s">
        <v>26</v>
      </c>
      <c r="O24" s="85"/>
    </row>
    <row r="25" spans="1:19" ht="14.1" customHeight="1">
      <c r="A25" s="21" t="s">
        <v>27</v>
      </c>
      <c r="B25" s="22"/>
      <c r="C25" s="22"/>
      <c r="D25" s="22"/>
      <c r="E25" s="69"/>
      <c r="F25" s="69"/>
      <c r="G25" s="83"/>
      <c r="H25" s="83"/>
      <c r="I25" s="83"/>
      <c r="J25" s="86" t="s">
        <v>28</v>
      </c>
      <c r="K25" s="86"/>
      <c r="L25" s="87" t="s">
        <v>29</v>
      </c>
      <c r="M25" s="87"/>
      <c r="N25" s="87" t="s">
        <v>30</v>
      </c>
      <c r="O25" s="87"/>
    </row>
    <row r="26" spans="1:19" ht="15" customHeight="1">
      <c r="A26" s="88" t="s">
        <v>5</v>
      </c>
      <c r="B26" s="88"/>
      <c r="C26" s="88"/>
      <c r="D26" s="88"/>
      <c r="E26" s="23">
        <f>A15</f>
        <v>41640</v>
      </c>
      <c r="F26" s="24">
        <f>+A16</f>
        <v>0.33333333333333331</v>
      </c>
      <c r="G26" s="89" t="str">
        <f>A14</f>
        <v>Č. Budějovice</v>
      </c>
      <c r="H26" s="89"/>
      <c r="I26" s="89"/>
      <c r="J26" s="90" t="s">
        <v>31</v>
      </c>
      <c r="K26" s="90"/>
      <c r="L26" s="91" t="s">
        <v>31</v>
      </c>
      <c r="M26" s="91"/>
      <c r="N26" s="91" t="s">
        <v>31</v>
      </c>
      <c r="O26" s="91"/>
    </row>
    <row r="27" spans="1:19" ht="15" customHeight="1">
      <c r="A27" s="92" t="s">
        <v>32</v>
      </c>
      <c r="B27" s="92"/>
      <c r="C27" s="92"/>
      <c r="D27" s="92"/>
      <c r="E27" s="23">
        <f>A15</f>
        <v>41640</v>
      </c>
      <c r="F27" s="26"/>
      <c r="G27" s="89" t="str">
        <f>D14</f>
        <v>místo 1</v>
      </c>
      <c r="H27" s="89"/>
      <c r="I27" s="89"/>
      <c r="J27" s="93"/>
      <c r="K27" s="93"/>
      <c r="L27" s="97">
        <v>3</v>
      </c>
      <c r="M27" s="97"/>
      <c r="N27" s="95">
        <f>J27*L27</f>
        <v>0</v>
      </c>
      <c r="O27" s="95"/>
    </row>
    <row r="28" spans="1:19" s="2" customFormat="1" ht="9" customHeight="1">
      <c r="A28" s="1"/>
      <c r="B28" s="1"/>
      <c r="C28" s="1"/>
      <c r="D28" s="1"/>
      <c r="E28" s="27"/>
      <c r="F28" s="28"/>
      <c r="G28" s="29"/>
      <c r="H28" s="30"/>
      <c r="I28" s="30"/>
      <c r="J28" s="30"/>
      <c r="K28" s="30"/>
      <c r="L28" s="38"/>
      <c r="M28" s="38"/>
      <c r="N28" s="33"/>
      <c r="O28" s="33"/>
      <c r="Q28" s="3"/>
      <c r="R28" s="3"/>
      <c r="S28" s="3"/>
    </row>
    <row r="29" spans="1:19" s="2" customFormat="1" ht="14.1" customHeight="1">
      <c r="A29" s="92" t="s">
        <v>33</v>
      </c>
      <c r="B29" s="92"/>
      <c r="C29" s="92"/>
      <c r="D29" s="92"/>
      <c r="E29" s="56"/>
      <c r="F29" s="34"/>
      <c r="G29" s="89" t="str">
        <f>D14</f>
        <v>místo 1</v>
      </c>
      <c r="H29" s="89"/>
      <c r="I29" s="89"/>
      <c r="J29" s="90" t="s">
        <v>31</v>
      </c>
      <c r="K29" s="90"/>
      <c r="L29" s="105" t="s">
        <v>31</v>
      </c>
      <c r="M29" s="105"/>
      <c r="N29" s="90" t="s">
        <v>31</v>
      </c>
      <c r="O29" s="90"/>
      <c r="Q29" s="3"/>
      <c r="R29" s="3"/>
      <c r="S29" s="3"/>
    </row>
    <row r="30" spans="1:19" s="2" customFormat="1" ht="14.1" customHeight="1">
      <c r="A30" s="92" t="s">
        <v>34</v>
      </c>
      <c r="B30" s="92"/>
      <c r="C30" s="92"/>
      <c r="D30" s="92"/>
      <c r="E30" s="56"/>
      <c r="F30" s="34"/>
      <c r="G30" s="89" t="str">
        <f>D15</f>
        <v>místo 2</v>
      </c>
      <c r="H30" s="89"/>
      <c r="I30" s="89"/>
      <c r="J30" s="106"/>
      <c r="K30" s="106"/>
      <c r="L30" s="97">
        <v>3</v>
      </c>
      <c r="M30" s="97"/>
      <c r="N30" s="95">
        <f>J30*L30</f>
        <v>0</v>
      </c>
      <c r="O30" s="95"/>
      <c r="Q30" s="3"/>
      <c r="R30" s="3"/>
      <c r="S30" s="3"/>
    </row>
    <row r="31" spans="1:19" s="2" customFormat="1" ht="9" customHeight="1">
      <c r="A31" s="1"/>
      <c r="B31" s="1"/>
      <c r="C31" s="1"/>
      <c r="D31" s="1"/>
      <c r="E31" s="27"/>
      <c r="F31" s="28"/>
      <c r="G31" s="29"/>
      <c r="H31" s="30"/>
      <c r="I31" s="30"/>
      <c r="J31" s="30"/>
      <c r="K31" s="30"/>
      <c r="L31" s="38"/>
      <c r="M31" s="38"/>
      <c r="N31" s="33"/>
      <c r="O31" s="33"/>
      <c r="Q31" s="3"/>
      <c r="R31" s="3"/>
      <c r="S31" s="3"/>
    </row>
    <row r="32" spans="1:19" s="2" customFormat="1" ht="15" customHeight="1">
      <c r="A32" s="92" t="s">
        <v>33</v>
      </c>
      <c r="B32" s="92"/>
      <c r="C32" s="92"/>
      <c r="D32" s="92"/>
      <c r="E32" s="23">
        <f>N15</f>
        <v>41641</v>
      </c>
      <c r="F32" s="34"/>
      <c r="G32" s="89" t="str">
        <f>D15</f>
        <v>místo 2</v>
      </c>
      <c r="H32" s="89"/>
      <c r="I32" s="89"/>
      <c r="J32" s="90" t="s">
        <v>31</v>
      </c>
      <c r="K32" s="90"/>
      <c r="L32" s="105" t="s">
        <v>31</v>
      </c>
      <c r="M32" s="105"/>
      <c r="N32" s="90" t="s">
        <v>31</v>
      </c>
      <c r="O32" s="90"/>
      <c r="Q32" s="3"/>
      <c r="R32" s="3"/>
      <c r="S32" s="3"/>
    </row>
    <row r="33" spans="1:19" s="2" customFormat="1" ht="15" customHeight="1">
      <c r="A33" s="92" t="s">
        <v>34</v>
      </c>
      <c r="B33" s="92"/>
      <c r="C33" s="92"/>
      <c r="D33" s="92"/>
      <c r="E33" s="23">
        <f>N15</f>
        <v>41641</v>
      </c>
      <c r="F33" s="34"/>
      <c r="G33" s="89" t="str">
        <f>A14</f>
        <v>Č. Budějovice</v>
      </c>
      <c r="H33" s="89"/>
      <c r="I33" s="89"/>
      <c r="J33" s="106"/>
      <c r="K33" s="106"/>
      <c r="L33" s="97">
        <v>3</v>
      </c>
      <c r="M33" s="97"/>
      <c r="N33" s="95">
        <f>J33*L33</f>
        <v>0</v>
      </c>
      <c r="O33" s="95"/>
      <c r="Q33" s="3"/>
      <c r="R33" s="3"/>
      <c r="S33" s="3"/>
    </row>
    <row r="34" spans="1:19" s="2" customFormat="1" ht="13.5" customHeight="1">
      <c r="A34" s="35" t="s">
        <v>35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36"/>
      <c r="M34" s="36"/>
      <c r="N34" s="37"/>
      <c r="O34" s="37"/>
      <c r="Q34" s="3"/>
      <c r="R34" s="3"/>
      <c r="S34" s="3"/>
    </row>
    <row r="35" spans="1:19" s="2" customFormat="1" ht="12" customHeight="1">
      <c r="A35" s="35"/>
      <c r="B35" s="1"/>
      <c r="C35" s="1"/>
      <c r="D35" s="1"/>
      <c r="E35" s="1"/>
      <c r="F35" s="1"/>
      <c r="G35" s="1"/>
      <c r="H35" s="1"/>
      <c r="I35" s="1"/>
      <c r="J35" s="1"/>
      <c r="K35" s="1"/>
      <c r="L35" s="38"/>
      <c r="M35" s="38"/>
      <c r="N35" s="37"/>
      <c r="O35" s="37"/>
      <c r="Q35" s="3"/>
      <c r="R35" s="3"/>
      <c r="S35" s="3"/>
    </row>
    <row r="36" spans="1:19" ht="12" customHeight="1"/>
    <row r="37" spans="1:19" ht="16.5" customHeight="1">
      <c r="A37" s="39" t="s">
        <v>36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98">
        <f>N27+N30+N33</f>
        <v>0</v>
      </c>
      <c r="O37" s="98"/>
    </row>
    <row r="38" spans="1:19" ht="16.5" customHeight="1">
      <c r="A38" s="39" t="s">
        <v>37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98">
        <v>0</v>
      </c>
      <c r="O38" s="98"/>
    </row>
    <row r="39" spans="1:19" ht="14.1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41"/>
      <c r="O39" s="41"/>
    </row>
    <row r="40" spans="1:19" ht="16.5" customHeight="1">
      <c r="A40" s="39" t="s">
        <v>38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99">
        <f>N37+N38</f>
        <v>0</v>
      </c>
      <c r="O40" s="99"/>
    </row>
    <row r="41" spans="1:19" ht="12" customHeight="1"/>
    <row r="42" spans="1:19" ht="12" customHeight="1">
      <c r="R42" s="42"/>
      <c r="S42" s="43"/>
    </row>
    <row r="43" spans="1:19" ht="14.1" customHeight="1">
      <c r="A43" s="9" t="s">
        <v>39</v>
      </c>
      <c r="B43" s="20"/>
      <c r="C43" s="20"/>
      <c r="D43" s="20"/>
      <c r="E43" s="9" t="s">
        <v>40</v>
      </c>
      <c r="F43" s="20"/>
      <c r="G43" s="20"/>
      <c r="H43" s="20"/>
      <c r="I43" s="20"/>
      <c r="J43" s="20"/>
      <c r="K43" s="11"/>
      <c r="L43" s="20" t="s">
        <v>41</v>
      </c>
      <c r="M43" s="20"/>
      <c r="N43" s="20"/>
      <c r="O43" s="11"/>
      <c r="R43" s="44"/>
      <c r="S43" s="43"/>
    </row>
    <row r="44" spans="1:19" ht="14.1" customHeight="1">
      <c r="A44" s="45" t="s">
        <v>42</v>
      </c>
      <c r="B44" s="18"/>
      <c r="C44" s="18"/>
      <c r="D44" s="18"/>
      <c r="E44" s="45" t="s">
        <v>43</v>
      </c>
      <c r="F44" s="18"/>
      <c r="G44" s="18"/>
      <c r="H44" s="18"/>
      <c r="I44" s="18"/>
      <c r="J44" s="18"/>
      <c r="K44" s="46"/>
      <c r="L44" s="18" t="s">
        <v>44</v>
      </c>
      <c r="M44" s="18"/>
      <c r="N44" s="18"/>
      <c r="O44" s="46"/>
    </row>
    <row r="45" spans="1:19" ht="14.1" customHeight="1">
      <c r="A45" s="47" t="s">
        <v>45</v>
      </c>
      <c r="B45" s="18"/>
      <c r="C45" s="18"/>
      <c r="D45" s="18"/>
      <c r="E45" s="45" t="s">
        <v>46</v>
      </c>
      <c r="F45" s="18"/>
      <c r="G45" s="18"/>
      <c r="H45" s="18"/>
      <c r="I45" s="18"/>
      <c r="J45" s="18"/>
      <c r="K45" s="46"/>
      <c r="L45" s="4" t="s">
        <v>45</v>
      </c>
      <c r="M45" s="18"/>
      <c r="N45" s="18"/>
      <c r="O45" s="46"/>
    </row>
    <row r="46" spans="1:19" ht="14.1" customHeight="1">
      <c r="A46" s="48"/>
      <c r="B46" s="18"/>
      <c r="C46" s="18"/>
      <c r="D46" s="18"/>
      <c r="E46" s="45" t="s">
        <v>47</v>
      </c>
      <c r="F46" s="18"/>
      <c r="G46" s="18"/>
      <c r="H46" s="18"/>
      <c r="I46" s="18"/>
      <c r="J46" s="18"/>
      <c r="K46" s="46"/>
      <c r="L46" s="49"/>
      <c r="M46" s="18"/>
      <c r="N46" s="18"/>
      <c r="O46" s="46"/>
    </row>
    <row r="47" spans="1:19" ht="14.1" customHeight="1">
      <c r="A47" s="48" t="s">
        <v>48</v>
      </c>
      <c r="B47" s="18"/>
      <c r="C47" s="18"/>
      <c r="D47" s="18"/>
      <c r="E47" s="47" t="s">
        <v>49</v>
      </c>
      <c r="F47" s="18"/>
      <c r="G47" s="18"/>
      <c r="H47" s="18"/>
      <c r="I47" s="18"/>
      <c r="J47" s="18"/>
      <c r="K47" s="46"/>
      <c r="L47" s="49" t="s">
        <v>50</v>
      </c>
      <c r="M47" s="18"/>
      <c r="N47" s="18"/>
      <c r="O47" s="46"/>
    </row>
    <row r="48" spans="1:19" ht="14.1" customHeight="1">
      <c r="A48" s="45"/>
      <c r="B48" s="18"/>
      <c r="C48" s="18"/>
      <c r="D48" s="18"/>
      <c r="E48" s="45"/>
      <c r="F48" s="18"/>
      <c r="G48" s="18"/>
      <c r="H48" s="18"/>
      <c r="I48" s="18"/>
      <c r="J48" s="18"/>
      <c r="K48" s="46"/>
      <c r="L48" s="18"/>
      <c r="M48" s="18"/>
      <c r="N48" s="18"/>
      <c r="O48" s="46"/>
    </row>
    <row r="49" spans="1:15" ht="14.1" customHeight="1">
      <c r="A49" s="45"/>
      <c r="B49" s="18"/>
      <c r="C49" s="18"/>
      <c r="D49" s="18"/>
      <c r="E49" s="107"/>
      <c r="F49" s="107"/>
      <c r="G49" s="107"/>
      <c r="H49" s="107"/>
      <c r="I49" s="107"/>
      <c r="J49" s="108"/>
      <c r="K49" s="108"/>
      <c r="L49" s="18"/>
      <c r="M49" s="18"/>
      <c r="N49" s="18"/>
      <c r="O49" s="46"/>
    </row>
    <row r="50" spans="1:15" ht="14.1" customHeight="1">
      <c r="A50" s="50" t="s">
        <v>21</v>
      </c>
      <c r="B50" s="22"/>
      <c r="C50" s="51"/>
      <c r="D50" s="51"/>
      <c r="E50" s="50" t="s">
        <v>21</v>
      </c>
      <c r="F50" s="22"/>
      <c r="G50" s="100"/>
      <c r="H50" s="100"/>
      <c r="I50" s="22"/>
      <c r="J50" s="22"/>
      <c r="K50" s="14"/>
      <c r="L50" s="52" t="s">
        <v>21</v>
      </c>
      <c r="M50" s="22"/>
      <c r="N50" s="51"/>
      <c r="O50" s="53"/>
    </row>
    <row r="51" spans="1:15">
      <c r="A51" s="101" t="s">
        <v>51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1:15">
      <c r="D52" s="54"/>
    </row>
    <row r="53" spans="1:15">
      <c r="D53" s="54"/>
    </row>
  </sheetData>
  <sheetProtection selectLockedCells="1" selectUnlockedCells="1"/>
  <mergeCells count="74">
    <mergeCell ref="A51:O51"/>
    <mergeCell ref="N37:O37"/>
    <mergeCell ref="N38:O38"/>
    <mergeCell ref="N40:O40"/>
    <mergeCell ref="E49:I49"/>
    <mergeCell ref="J49:K49"/>
    <mergeCell ref="G50:H50"/>
    <mergeCell ref="A32:D32"/>
    <mergeCell ref="G32:I32"/>
    <mergeCell ref="J32:K32"/>
    <mergeCell ref="L32:M32"/>
    <mergeCell ref="N32:O32"/>
    <mergeCell ref="A33:D33"/>
    <mergeCell ref="G33:I33"/>
    <mergeCell ref="J33:K33"/>
    <mergeCell ref="L33:M33"/>
    <mergeCell ref="N33:O33"/>
    <mergeCell ref="A29:D29"/>
    <mergeCell ref="G29:I29"/>
    <mergeCell ref="J29:K29"/>
    <mergeCell ref="L29:M29"/>
    <mergeCell ref="N29:O29"/>
    <mergeCell ref="A30:D30"/>
    <mergeCell ref="G30:I30"/>
    <mergeCell ref="J30:K30"/>
    <mergeCell ref="L30:M30"/>
    <mergeCell ref="N30:O30"/>
    <mergeCell ref="A26:D26"/>
    <mergeCell ref="G26:I26"/>
    <mergeCell ref="J26:K26"/>
    <mergeCell ref="L26:M26"/>
    <mergeCell ref="N26:O26"/>
    <mergeCell ref="A27:D27"/>
    <mergeCell ref="G27:I27"/>
    <mergeCell ref="J27:K27"/>
    <mergeCell ref="L27:M27"/>
    <mergeCell ref="N27:O27"/>
    <mergeCell ref="E24:E25"/>
    <mergeCell ref="F24:F25"/>
    <mergeCell ref="G24:I25"/>
    <mergeCell ref="J24:K24"/>
    <mergeCell ref="L24:M24"/>
    <mergeCell ref="N24:O24"/>
    <mergeCell ref="J25:K25"/>
    <mergeCell ref="L25:M25"/>
    <mergeCell ref="N25:O25"/>
    <mergeCell ref="A18:C19"/>
    <mergeCell ref="D18:O18"/>
    <mergeCell ref="D19:O19"/>
    <mergeCell ref="A21:C21"/>
    <mergeCell ref="D21:E21"/>
    <mergeCell ref="G21:K21"/>
    <mergeCell ref="M21:O21"/>
    <mergeCell ref="A14:C14"/>
    <mergeCell ref="D14:H14"/>
    <mergeCell ref="I14:M16"/>
    <mergeCell ref="N14:O14"/>
    <mergeCell ref="A15:C15"/>
    <mergeCell ref="D15:H16"/>
    <mergeCell ref="N15:O15"/>
    <mergeCell ref="A16:C16"/>
    <mergeCell ref="A10:B10"/>
    <mergeCell ref="C10:I10"/>
    <mergeCell ref="J10:N10"/>
    <mergeCell ref="D12:H13"/>
    <mergeCell ref="I12:M13"/>
    <mergeCell ref="N12:O12"/>
    <mergeCell ref="N13:O13"/>
    <mergeCell ref="A2:C5"/>
    <mergeCell ref="D2:O5"/>
    <mergeCell ref="A7:O7"/>
    <mergeCell ref="A9:C9"/>
    <mergeCell ref="D9:I9"/>
    <mergeCell ref="J9:O9"/>
  </mergeCells>
  <printOptions horizontalCentered="1" verticalCentered="1"/>
  <pageMargins left="0.55138888888888893" right="0.55138888888888893" top="0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="155" zoomScaleNormal="155" workbookViewId="0">
      <selection activeCell="Q5" sqref="Q5"/>
    </sheetView>
  </sheetViews>
  <sheetFormatPr defaultRowHeight="12.75"/>
  <cols>
    <col min="1" max="4" width="5.7109375" style="1" customWidth="1"/>
    <col min="5" max="6" width="6.7109375" style="1" customWidth="1"/>
    <col min="7" max="8" width="5.7109375" style="1" customWidth="1"/>
    <col min="9" max="9" width="6.7109375" style="1" customWidth="1"/>
    <col min="10" max="13" width="5.7109375" style="1" customWidth="1"/>
    <col min="14" max="15" width="6.7109375" style="1" customWidth="1"/>
    <col min="16" max="16" width="3.42578125" style="2" customWidth="1"/>
    <col min="17" max="27" width="5.7109375" style="3" customWidth="1"/>
    <col min="28" max="16384" width="9.140625" style="3"/>
  </cols>
  <sheetData>
    <row r="1" spans="1:15" s="6" customFormat="1" ht="3" customHeight="1">
      <c r="A1" s="1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7" customFormat="1" ht="12.75" customHeight="1">
      <c r="A2" s="61"/>
      <c r="B2" s="61"/>
      <c r="C2" s="61"/>
      <c r="D2" s="62" t="s">
        <v>55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7" customFormat="1" ht="12.75" customHeight="1">
      <c r="A3" s="61"/>
      <c r="B3" s="61"/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7" customFormat="1" ht="12.75" customHeight="1">
      <c r="A4" s="61"/>
      <c r="B4" s="61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s="7" customFormat="1" ht="12.75" customHeight="1">
      <c r="A5" s="61"/>
      <c r="B5" s="61"/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7" spans="1:15" ht="26.25">
      <c r="A7" s="102" t="s">
        <v>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4.1" customHeight="1"/>
    <row r="9" spans="1:15" ht="18" customHeight="1">
      <c r="A9" s="109" t="s">
        <v>1</v>
      </c>
      <c r="B9" s="109"/>
      <c r="C9" s="109"/>
      <c r="D9" s="110"/>
      <c r="E9" s="110"/>
      <c r="F9" s="110"/>
      <c r="G9" s="110"/>
      <c r="H9" s="110"/>
      <c r="I9" s="110"/>
      <c r="J9" s="66" t="s">
        <v>2</v>
      </c>
      <c r="K9" s="66"/>
      <c r="L9" s="66"/>
      <c r="M9" s="66"/>
      <c r="N9" s="66"/>
      <c r="O9" s="66"/>
    </row>
    <row r="10" spans="1:15" ht="18" customHeight="1">
      <c r="A10" s="109" t="s">
        <v>3</v>
      </c>
      <c r="B10" s="109"/>
      <c r="C10" s="111"/>
      <c r="D10" s="111"/>
      <c r="E10" s="111"/>
      <c r="F10" s="111"/>
      <c r="G10" s="111"/>
      <c r="H10" s="111"/>
      <c r="I10" s="111"/>
      <c r="J10" s="112"/>
      <c r="K10" s="112"/>
      <c r="L10" s="112"/>
      <c r="M10" s="112"/>
      <c r="N10" s="112"/>
      <c r="O10" s="57" t="s">
        <v>4</v>
      </c>
    </row>
    <row r="11" spans="1:15" ht="14.1" customHeight="1"/>
    <row r="12" spans="1:15" ht="14.1" customHeight="1">
      <c r="A12" s="9"/>
      <c r="B12" s="10" t="s">
        <v>5</v>
      </c>
      <c r="C12" s="11"/>
      <c r="D12" s="69" t="s">
        <v>6</v>
      </c>
      <c r="E12" s="69"/>
      <c r="F12" s="69"/>
      <c r="G12" s="69"/>
      <c r="H12" s="69"/>
      <c r="I12" s="69" t="s">
        <v>7</v>
      </c>
      <c r="J12" s="69"/>
      <c r="K12" s="69"/>
      <c r="L12" s="69"/>
      <c r="M12" s="69"/>
      <c r="N12" s="70" t="s">
        <v>8</v>
      </c>
      <c r="O12" s="70"/>
    </row>
    <row r="13" spans="1:15" ht="14.1" customHeight="1">
      <c r="A13" s="12"/>
      <c r="B13" s="13" t="s">
        <v>9</v>
      </c>
      <c r="C13" s="14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1" t="s">
        <v>10</v>
      </c>
      <c r="O13" s="71"/>
    </row>
    <row r="14" spans="1:15" ht="15" customHeight="1">
      <c r="A14" s="72" t="s">
        <v>11</v>
      </c>
      <c r="B14" s="72"/>
      <c r="C14" s="7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72" t="s">
        <v>11</v>
      </c>
      <c r="O14" s="72"/>
    </row>
    <row r="15" spans="1:15" ht="15" customHeight="1">
      <c r="A15" s="113"/>
      <c r="B15" s="113"/>
      <c r="C15" s="113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13"/>
      <c r="O15" s="113"/>
    </row>
    <row r="16" spans="1:15" ht="15" customHeight="1">
      <c r="A16" s="114"/>
      <c r="B16" s="114"/>
      <c r="C16" s="114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15"/>
      <c r="O16" s="16"/>
    </row>
    <row r="17" spans="1:15" ht="14.1" customHeight="1"/>
    <row r="18" spans="1:15" ht="17.25" customHeight="1">
      <c r="A18" s="78" t="s">
        <v>14</v>
      </c>
      <c r="B18" s="78"/>
      <c r="C18" s="78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1:15" ht="17.25" customHeight="1">
      <c r="A19" s="78"/>
      <c r="B19" s="78"/>
      <c r="C19" s="78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 ht="14.1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25.5" customHeight="1">
      <c r="A21" s="81" t="s">
        <v>15</v>
      </c>
      <c r="B21" s="81"/>
      <c r="C21" s="81"/>
      <c r="D21" s="82" t="s">
        <v>16</v>
      </c>
      <c r="E21" s="82"/>
      <c r="F21" s="17" t="s">
        <v>17</v>
      </c>
      <c r="G21" s="82"/>
      <c r="H21" s="82"/>
      <c r="I21" s="82"/>
      <c r="J21" s="82"/>
      <c r="K21" s="82"/>
      <c r="L21" s="17" t="s">
        <v>18</v>
      </c>
      <c r="M21" s="82"/>
      <c r="N21" s="82"/>
      <c r="O21" s="82"/>
    </row>
    <row r="22" spans="1:15" ht="13.5" customHeight="1">
      <c r="A22" s="4" t="s">
        <v>19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4.1" customHeight="1"/>
    <row r="24" spans="1:15" ht="14.1" customHeight="1">
      <c r="A24" s="19" t="s">
        <v>20</v>
      </c>
      <c r="B24" s="20"/>
      <c r="C24" s="20"/>
      <c r="D24" s="20"/>
      <c r="E24" s="69" t="s">
        <v>21</v>
      </c>
      <c r="F24" s="69" t="s">
        <v>22</v>
      </c>
      <c r="G24" s="83" t="s">
        <v>23</v>
      </c>
      <c r="H24" s="83"/>
      <c r="I24" s="83"/>
      <c r="J24" s="84" t="s">
        <v>24</v>
      </c>
      <c r="K24" s="84"/>
      <c r="L24" s="85" t="s">
        <v>25</v>
      </c>
      <c r="M24" s="85"/>
      <c r="N24" s="85" t="s">
        <v>26</v>
      </c>
      <c r="O24" s="85"/>
    </row>
    <row r="25" spans="1:15" ht="14.1" customHeight="1">
      <c r="A25" s="21" t="s">
        <v>27</v>
      </c>
      <c r="B25" s="22"/>
      <c r="C25" s="22"/>
      <c r="D25" s="22"/>
      <c r="E25" s="69"/>
      <c r="F25" s="69"/>
      <c r="G25" s="83"/>
      <c r="H25" s="83"/>
      <c r="I25" s="83"/>
      <c r="J25" s="86" t="s">
        <v>28</v>
      </c>
      <c r="K25" s="86"/>
      <c r="L25" s="87" t="s">
        <v>29</v>
      </c>
      <c r="M25" s="87"/>
      <c r="N25" s="87" t="s">
        <v>30</v>
      </c>
      <c r="O25" s="87"/>
    </row>
    <row r="26" spans="1:15" ht="15" customHeight="1">
      <c r="A26" s="88" t="s">
        <v>5</v>
      </c>
      <c r="B26" s="88"/>
      <c r="C26" s="88"/>
      <c r="D26" s="88"/>
      <c r="E26" s="58"/>
      <c r="F26" s="24"/>
      <c r="G26" s="89" t="s">
        <v>11</v>
      </c>
      <c r="H26" s="89"/>
      <c r="I26" s="89"/>
      <c r="J26" s="90" t="s">
        <v>31</v>
      </c>
      <c r="K26" s="90"/>
      <c r="L26" s="91" t="s">
        <v>31</v>
      </c>
      <c r="M26" s="91"/>
      <c r="N26" s="91" t="s">
        <v>31</v>
      </c>
      <c r="O26" s="91"/>
    </row>
    <row r="27" spans="1:15" ht="15" customHeight="1">
      <c r="A27" s="92" t="s">
        <v>32</v>
      </c>
      <c r="B27" s="92"/>
      <c r="C27" s="92"/>
      <c r="D27" s="92"/>
      <c r="E27" s="58"/>
      <c r="F27" s="24"/>
      <c r="G27" s="89"/>
      <c r="H27" s="89"/>
      <c r="I27" s="89"/>
      <c r="J27" s="117"/>
      <c r="K27" s="117"/>
      <c r="L27" s="94">
        <v>3</v>
      </c>
      <c r="M27" s="94"/>
      <c r="N27" s="95"/>
      <c r="O27" s="95"/>
    </row>
    <row r="28" spans="1:15" ht="14.1" customHeight="1">
      <c r="E28" s="59"/>
      <c r="F28" s="28"/>
      <c r="G28" s="29"/>
      <c r="H28" s="30"/>
      <c r="I28" s="30"/>
      <c r="J28" s="30"/>
      <c r="K28" s="30"/>
      <c r="L28" s="31"/>
      <c r="M28" s="32"/>
      <c r="N28" s="33"/>
      <c r="O28" s="33"/>
    </row>
    <row r="29" spans="1:15" ht="15" customHeight="1">
      <c r="A29" s="92" t="s">
        <v>33</v>
      </c>
      <c r="B29" s="92"/>
      <c r="C29" s="92"/>
      <c r="D29" s="92"/>
      <c r="E29" s="58"/>
      <c r="F29" s="25"/>
      <c r="G29" s="89"/>
      <c r="H29" s="89"/>
      <c r="I29" s="89"/>
      <c r="J29" s="90" t="s">
        <v>31</v>
      </c>
      <c r="K29" s="90"/>
      <c r="L29" s="91" t="s">
        <v>31</v>
      </c>
      <c r="M29" s="91"/>
      <c r="N29" s="90" t="s">
        <v>31</v>
      </c>
      <c r="O29" s="90"/>
    </row>
    <row r="30" spans="1:15" ht="15" customHeight="1">
      <c r="A30" s="92" t="s">
        <v>34</v>
      </c>
      <c r="B30" s="92"/>
      <c r="C30" s="92"/>
      <c r="D30" s="92"/>
      <c r="E30" s="58"/>
      <c r="F30" s="25"/>
      <c r="G30" s="89" t="s">
        <v>11</v>
      </c>
      <c r="H30" s="89"/>
      <c r="I30" s="89"/>
      <c r="J30" s="96"/>
      <c r="K30" s="96"/>
      <c r="L30" s="97">
        <v>3</v>
      </c>
      <c r="M30" s="97"/>
      <c r="N30" s="95"/>
      <c r="O30" s="95"/>
    </row>
    <row r="31" spans="1:15" ht="13.5" customHeight="1">
      <c r="A31" s="35" t="s">
        <v>35</v>
      </c>
      <c r="L31" s="36"/>
      <c r="M31" s="36"/>
      <c r="N31" s="37"/>
      <c r="O31" s="37"/>
    </row>
    <row r="32" spans="1:15" ht="12" customHeight="1">
      <c r="A32" s="35"/>
      <c r="L32" s="38"/>
      <c r="M32" s="38"/>
      <c r="N32" s="37"/>
      <c r="O32" s="37"/>
    </row>
    <row r="33" spans="1:19" ht="12" customHeight="1"/>
    <row r="34" spans="1:19" ht="16.5" customHeight="1">
      <c r="A34" s="39" t="s">
        <v>36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98" t="s">
        <v>56</v>
      </c>
      <c r="O34" s="98"/>
    </row>
    <row r="35" spans="1:19" ht="16.5" customHeight="1">
      <c r="A35" s="39" t="s">
        <v>37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98" t="s">
        <v>56</v>
      </c>
      <c r="O35" s="98"/>
    </row>
    <row r="36" spans="1:19" ht="14.1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41"/>
      <c r="O36" s="41"/>
    </row>
    <row r="37" spans="1:19" ht="16.5" customHeight="1">
      <c r="A37" s="39" t="s">
        <v>38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99" t="s">
        <v>56</v>
      </c>
      <c r="O37" s="99"/>
    </row>
    <row r="38" spans="1:19" ht="12" customHeight="1"/>
    <row r="39" spans="1:19" ht="12" customHeight="1">
      <c r="R39" s="42"/>
      <c r="S39" s="43"/>
    </row>
    <row r="40" spans="1:19" ht="14.1" customHeight="1">
      <c r="A40" s="9" t="s">
        <v>39</v>
      </c>
      <c r="B40" s="20"/>
      <c r="C40" s="20"/>
      <c r="D40" s="20"/>
      <c r="E40" s="9" t="s">
        <v>40</v>
      </c>
      <c r="F40" s="20"/>
      <c r="G40" s="20"/>
      <c r="H40" s="20"/>
      <c r="I40" s="20"/>
      <c r="J40" s="20"/>
      <c r="K40" s="11"/>
      <c r="L40" s="20" t="s">
        <v>41</v>
      </c>
      <c r="M40" s="20"/>
      <c r="N40" s="20"/>
      <c r="O40" s="11"/>
      <c r="R40" s="44"/>
      <c r="S40" s="43"/>
    </row>
    <row r="41" spans="1:19" ht="14.1" customHeight="1">
      <c r="A41" s="45" t="s">
        <v>42</v>
      </c>
      <c r="B41" s="18"/>
      <c r="C41" s="18"/>
      <c r="D41" s="18"/>
      <c r="E41" s="45" t="s">
        <v>43</v>
      </c>
      <c r="F41" s="18"/>
      <c r="G41" s="18"/>
      <c r="H41" s="18"/>
      <c r="I41" s="18"/>
      <c r="J41" s="18"/>
      <c r="K41" s="46"/>
      <c r="L41" s="18" t="s">
        <v>44</v>
      </c>
      <c r="M41" s="18"/>
      <c r="N41" s="18"/>
      <c r="O41" s="46"/>
    </row>
    <row r="42" spans="1:19" ht="14.1" customHeight="1">
      <c r="A42" s="47" t="s">
        <v>45</v>
      </c>
      <c r="B42" s="18"/>
      <c r="C42" s="18"/>
      <c r="D42" s="18"/>
      <c r="E42" s="45" t="s">
        <v>46</v>
      </c>
      <c r="F42" s="18"/>
      <c r="G42" s="18"/>
      <c r="H42" s="18"/>
      <c r="I42" s="18"/>
      <c r="J42" s="18"/>
      <c r="K42" s="46"/>
      <c r="L42" s="4" t="s">
        <v>45</v>
      </c>
      <c r="M42" s="18"/>
      <c r="N42" s="18"/>
      <c r="O42" s="46"/>
    </row>
    <row r="43" spans="1:19" ht="14.1" customHeight="1">
      <c r="A43" s="48"/>
      <c r="B43" s="18"/>
      <c r="C43" s="18"/>
      <c r="D43" s="18"/>
      <c r="E43" s="45" t="s">
        <v>47</v>
      </c>
      <c r="F43" s="18"/>
      <c r="G43" s="18"/>
      <c r="H43" s="18"/>
      <c r="I43" s="18"/>
      <c r="J43" s="18"/>
      <c r="K43" s="46"/>
      <c r="L43" s="49"/>
      <c r="M43" s="18"/>
      <c r="N43" s="18"/>
      <c r="O43" s="46"/>
    </row>
    <row r="44" spans="1:19" ht="14.1" customHeight="1">
      <c r="A44" s="48" t="s">
        <v>48</v>
      </c>
      <c r="B44" s="18"/>
      <c r="C44" s="18"/>
      <c r="D44" s="18"/>
      <c r="E44" s="47" t="s">
        <v>49</v>
      </c>
      <c r="F44" s="18"/>
      <c r="G44" s="18"/>
      <c r="H44" s="18"/>
      <c r="I44" s="18"/>
      <c r="J44" s="18"/>
      <c r="K44" s="46"/>
      <c r="L44" s="49" t="s">
        <v>50</v>
      </c>
      <c r="M44" s="18"/>
      <c r="N44" s="18"/>
      <c r="O44" s="46"/>
    </row>
    <row r="45" spans="1:19" ht="14.1" customHeight="1">
      <c r="A45" s="45"/>
      <c r="B45" s="18"/>
      <c r="C45" s="18"/>
      <c r="D45" s="18"/>
      <c r="E45" s="45"/>
      <c r="F45" s="18"/>
      <c r="G45" s="18"/>
      <c r="H45" s="18"/>
      <c r="I45" s="18"/>
      <c r="J45" s="18"/>
      <c r="K45" s="46"/>
      <c r="L45" s="18"/>
      <c r="M45" s="18"/>
      <c r="N45" s="18"/>
      <c r="O45" s="46"/>
    </row>
    <row r="46" spans="1:19" ht="14.1" customHeight="1">
      <c r="A46" s="45"/>
      <c r="B46" s="18"/>
      <c r="C46" s="18"/>
      <c r="D46" s="18"/>
      <c r="E46" s="107"/>
      <c r="F46" s="107"/>
      <c r="G46" s="107"/>
      <c r="H46" s="107"/>
      <c r="I46" s="107"/>
      <c r="J46" s="108"/>
      <c r="K46" s="108"/>
      <c r="L46" s="18"/>
      <c r="M46" s="18"/>
      <c r="N46" s="18"/>
      <c r="O46" s="46"/>
    </row>
    <row r="47" spans="1:19" ht="14.1" customHeight="1">
      <c r="A47" s="50" t="s">
        <v>21</v>
      </c>
      <c r="B47" s="22"/>
      <c r="C47" s="51"/>
      <c r="D47" s="51"/>
      <c r="E47" s="50" t="s">
        <v>21</v>
      </c>
      <c r="F47" s="22"/>
      <c r="G47" s="100"/>
      <c r="H47" s="100"/>
      <c r="I47" s="22"/>
      <c r="J47" s="22"/>
      <c r="K47" s="14"/>
      <c r="L47" s="52" t="s">
        <v>21</v>
      </c>
      <c r="M47" s="22"/>
      <c r="N47" s="51"/>
      <c r="O47" s="53"/>
    </row>
    <row r="48" spans="1:19">
      <c r="A48" s="101" t="s">
        <v>51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4:4">
      <c r="D49" s="54"/>
    </row>
    <row r="50" spans="4:4">
      <c r="D50" s="54"/>
    </row>
  </sheetData>
  <sheetProtection selectLockedCells="1" selectUnlockedCells="1"/>
  <mergeCells count="63">
    <mergeCell ref="A48:O48"/>
    <mergeCell ref="N34:O34"/>
    <mergeCell ref="N35:O35"/>
    <mergeCell ref="N37:O37"/>
    <mergeCell ref="E46:I46"/>
    <mergeCell ref="J46:K46"/>
    <mergeCell ref="G47:H47"/>
    <mergeCell ref="A29:D29"/>
    <mergeCell ref="G29:I29"/>
    <mergeCell ref="J29:K29"/>
    <mergeCell ref="L29:M29"/>
    <mergeCell ref="N29:O29"/>
    <mergeCell ref="A30:D30"/>
    <mergeCell ref="G30:I30"/>
    <mergeCell ref="J30:K30"/>
    <mergeCell ref="L30:M30"/>
    <mergeCell ref="N30:O30"/>
    <mergeCell ref="A26:D26"/>
    <mergeCell ref="G26:I26"/>
    <mergeCell ref="J26:K26"/>
    <mergeCell ref="L26:M26"/>
    <mergeCell ref="N26:O26"/>
    <mergeCell ref="A27:D27"/>
    <mergeCell ref="G27:I27"/>
    <mergeCell ref="J27:K27"/>
    <mergeCell ref="L27:M27"/>
    <mergeCell ref="N27:O27"/>
    <mergeCell ref="E24:E25"/>
    <mergeCell ref="F24:F25"/>
    <mergeCell ref="G24:I25"/>
    <mergeCell ref="J24:K24"/>
    <mergeCell ref="L24:M24"/>
    <mergeCell ref="N24:O24"/>
    <mergeCell ref="J25:K25"/>
    <mergeCell ref="L25:M25"/>
    <mergeCell ref="N25:O25"/>
    <mergeCell ref="A18:C19"/>
    <mergeCell ref="D18:O18"/>
    <mergeCell ref="D19:O19"/>
    <mergeCell ref="A21:C21"/>
    <mergeCell ref="D21:E21"/>
    <mergeCell ref="G21:K21"/>
    <mergeCell ref="M21:O21"/>
    <mergeCell ref="A14:C14"/>
    <mergeCell ref="D14:H16"/>
    <mergeCell ref="I14:M16"/>
    <mergeCell ref="N14:O14"/>
    <mergeCell ref="A15:C15"/>
    <mergeCell ref="N15:O15"/>
    <mergeCell ref="A16:C16"/>
    <mergeCell ref="A10:B10"/>
    <mergeCell ref="C10:I10"/>
    <mergeCell ref="J10:N10"/>
    <mergeCell ref="D12:H13"/>
    <mergeCell ref="I12:M13"/>
    <mergeCell ref="N12:O12"/>
    <mergeCell ref="N13:O13"/>
    <mergeCell ref="A2:C5"/>
    <mergeCell ref="D2:O5"/>
    <mergeCell ref="A7:O7"/>
    <mergeCell ref="A9:C9"/>
    <mergeCell ref="D9:I9"/>
    <mergeCell ref="J9:O9"/>
  </mergeCells>
  <printOptions horizontalCentered="1" verticalCentered="1"/>
  <pageMargins left="0.55138888888888893" right="0.55138888888888893" top="0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zoomScale="155" zoomScaleNormal="155" workbookViewId="0"/>
  </sheetViews>
  <sheetFormatPr defaultRowHeight="12.75"/>
  <sheetData>
    <row r="1" spans="1:256">
      <c r="A1" s="60">
        <f>IF(předvyplněný!1:1,"AAAAAH/8HwA=",0)</f>
        <v>0</v>
      </c>
      <c r="B1" t="e">
        <f>AND(předvyplněný!A1,"AAAAAH/8HwE=")</f>
        <v>#VALUE!</v>
      </c>
      <c r="C1" t="e">
        <f>AND(předvyplněný!B1,"AAAAAH/8HwI=")</f>
        <v>#VALUE!</v>
      </c>
      <c r="D1" t="e">
        <f>AND(předvyplněný!C1,"AAAAAH/8HwM=")</f>
        <v>#VALUE!</v>
      </c>
      <c r="E1" t="e">
        <f>AND(předvyplněný!D1,"AAAAAH/8HwQ=")</f>
        <v>#VALUE!</v>
      </c>
      <c r="F1" t="e">
        <f>AND(předvyplněný!E1,"AAAAAH/8HwU=")</f>
        <v>#VALUE!</v>
      </c>
      <c r="G1" t="e">
        <f>AND(předvyplněný!F1,"AAAAAH/8HwY=")</f>
        <v>#VALUE!</v>
      </c>
      <c r="H1" t="e">
        <f>AND(předvyplněný!G1,"AAAAAH/8Hwc=")</f>
        <v>#VALUE!</v>
      </c>
      <c r="I1" t="e">
        <f>AND(předvyplněný!H1,"AAAAAH/8Hwg=")</f>
        <v>#VALUE!</v>
      </c>
      <c r="J1" t="e">
        <f>AND(předvyplněný!I1,"AAAAAH/8Hwk=")</f>
        <v>#VALUE!</v>
      </c>
      <c r="K1" t="e">
        <f>AND(předvyplněný!J1,"AAAAAH/8Hwo=")</f>
        <v>#VALUE!</v>
      </c>
      <c r="L1" t="e">
        <f>AND(předvyplněný!K1,"AAAAAH/8Hws=")</f>
        <v>#VALUE!</v>
      </c>
      <c r="M1" t="e">
        <f>AND(předvyplněný!L1,"AAAAAH/8Hww=")</f>
        <v>#VALUE!</v>
      </c>
      <c r="N1" t="e">
        <f>AND(předvyplněný!M1,"AAAAAH/8Hw0=")</f>
        <v>#VALUE!</v>
      </c>
      <c r="O1" t="e">
        <f>AND(předvyplněný!N1,"AAAAAH/8Hw4=")</f>
        <v>#VALUE!</v>
      </c>
      <c r="P1" t="e">
        <f>AND(předvyplněný!O1,"AAAAAH/8Hw8=")</f>
        <v>#VALUE!</v>
      </c>
      <c r="Q1" t="e">
        <f>AND(předvyplněný!P1,"AAAAAH/8HxA=")</f>
        <v>#VALUE!</v>
      </c>
      <c r="R1" t="e">
        <f>AND(předvyplněný!Q1,"AAAAAH/8HxE=")</f>
        <v>#VALUE!</v>
      </c>
      <c r="S1" t="e">
        <f>AND(předvyplněný!R1,"AAAAAH/8HxI=")</f>
        <v>#VALUE!</v>
      </c>
      <c r="T1" t="e">
        <f>AND(předvyplněný!S1,"AAAAAH/8HxM=")</f>
        <v>#VALUE!</v>
      </c>
      <c r="U1" s="60">
        <f>IF(předvyplněný!2:2,"AAAAAH/8HxQ=",0)</f>
        <v>0</v>
      </c>
      <c r="V1" t="e">
        <f>AND(předvyplněný!A2,"AAAAAH/8HxU=")</f>
        <v>#VALUE!</v>
      </c>
      <c r="W1" t="e">
        <f>AND(předvyplněný!B2,"AAAAAH/8HxY=")</f>
        <v>#VALUE!</v>
      </c>
      <c r="X1" t="e">
        <f>AND(předvyplněný!C2,"AAAAAH/8Hxc=")</f>
        <v>#VALUE!</v>
      </c>
      <c r="Y1" t="e">
        <f>AND(předvyplněný!D2,"AAAAAH/8Hxg=")</f>
        <v>#VALUE!</v>
      </c>
      <c r="Z1" t="e">
        <f>AND(předvyplněný!E2,"AAAAAH/8Hxk=")</f>
        <v>#VALUE!</v>
      </c>
      <c r="AA1" t="e">
        <f>AND(předvyplněný!F2,"AAAAAH/8Hxo=")</f>
        <v>#VALUE!</v>
      </c>
      <c r="AB1" t="e">
        <f>AND(předvyplněný!G2,"AAAAAH/8Hxs=")</f>
        <v>#VALUE!</v>
      </c>
      <c r="AC1" t="e">
        <f>AND(předvyplněný!H2,"AAAAAH/8Hxw=")</f>
        <v>#VALUE!</v>
      </c>
      <c r="AD1" t="e">
        <f>AND(předvyplněný!I2,"AAAAAH/8Hx0=")</f>
        <v>#VALUE!</v>
      </c>
      <c r="AE1" t="e">
        <f>AND(předvyplněný!J2,"AAAAAH/8Hx4=")</f>
        <v>#VALUE!</v>
      </c>
      <c r="AF1" t="e">
        <f>AND(předvyplněný!K2,"AAAAAH/8Hx8=")</f>
        <v>#VALUE!</v>
      </c>
      <c r="AG1" t="e">
        <f>AND(předvyplněný!L2,"AAAAAH/8HyA=")</f>
        <v>#VALUE!</v>
      </c>
      <c r="AH1" t="e">
        <f>AND(předvyplněný!M2,"AAAAAH/8HyE=")</f>
        <v>#VALUE!</v>
      </c>
      <c r="AI1" t="e">
        <f>AND(předvyplněný!N2,"AAAAAH/8HyI=")</f>
        <v>#VALUE!</v>
      </c>
      <c r="AJ1" t="e">
        <f>AND(předvyplněný!O2,"AAAAAH/8HyM=")</f>
        <v>#VALUE!</v>
      </c>
      <c r="AK1" t="e">
        <f>AND(předvyplněný!P2,"AAAAAH/8HyQ=")</f>
        <v>#VALUE!</v>
      </c>
      <c r="AL1" t="e">
        <f>AND(předvyplněný!Q2,"AAAAAH/8HyU=")</f>
        <v>#VALUE!</v>
      </c>
      <c r="AM1" t="e">
        <f>AND(předvyplněný!R2,"AAAAAH/8HyY=")</f>
        <v>#VALUE!</v>
      </c>
      <c r="AN1" t="e">
        <f>AND(předvyplněný!S2,"AAAAAH/8Hyc=")</f>
        <v>#VALUE!</v>
      </c>
      <c r="AO1" s="60">
        <f>IF(předvyplněný!3:3,"AAAAAH/8Hyg=",0)</f>
        <v>0</v>
      </c>
      <c r="AP1" t="e">
        <f>AND(předvyplněný!A3,"AAAAAH/8Hyk=")</f>
        <v>#VALUE!</v>
      </c>
      <c r="AQ1" t="e">
        <f>AND(předvyplněný!B3,"AAAAAH/8Hyo=")</f>
        <v>#VALUE!</v>
      </c>
      <c r="AR1" t="e">
        <f>AND(předvyplněný!C3,"AAAAAH/8Hys=")</f>
        <v>#VALUE!</v>
      </c>
      <c r="AS1" t="e">
        <f>AND(předvyplněný!D3,"AAAAAH/8Hyw=")</f>
        <v>#VALUE!</v>
      </c>
      <c r="AT1" t="e">
        <f>AND(předvyplněný!E3,"AAAAAH/8Hy0=")</f>
        <v>#VALUE!</v>
      </c>
      <c r="AU1" t="e">
        <f>AND(předvyplněný!F3,"AAAAAH/8Hy4=")</f>
        <v>#VALUE!</v>
      </c>
      <c r="AV1" t="e">
        <f>AND(předvyplněný!G3,"AAAAAH/8Hy8=")</f>
        <v>#VALUE!</v>
      </c>
      <c r="AW1" t="e">
        <f>AND(předvyplněný!H3,"AAAAAH/8HzA=")</f>
        <v>#VALUE!</v>
      </c>
      <c r="AX1" t="e">
        <f>AND(předvyplněný!I3,"AAAAAH/8HzE=")</f>
        <v>#VALUE!</v>
      </c>
      <c r="AY1" t="e">
        <f>AND(předvyplněný!J3,"AAAAAH/8HzI=")</f>
        <v>#VALUE!</v>
      </c>
      <c r="AZ1" t="e">
        <f>AND(předvyplněný!K3,"AAAAAH/8HzM=")</f>
        <v>#VALUE!</v>
      </c>
      <c r="BA1" t="e">
        <f>AND(předvyplněný!L3,"AAAAAH/8HzQ=")</f>
        <v>#VALUE!</v>
      </c>
      <c r="BB1" t="e">
        <f>AND(předvyplněný!M3,"AAAAAH/8HzU=")</f>
        <v>#VALUE!</v>
      </c>
      <c r="BC1" t="e">
        <f>AND(předvyplněný!N3,"AAAAAH/8HzY=")</f>
        <v>#VALUE!</v>
      </c>
      <c r="BD1" t="e">
        <f>AND(předvyplněný!O3,"AAAAAH/8Hzc=")</f>
        <v>#VALUE!</v>
      </c>
      <c r="BE1" t="e">
        <f>AND(předvyplněný!P3,"AAAAAH/8Hzg=")</f>
        <v>#VALUE!</v>
      </c>
      <c r="BF1" t="e">
        <f>AND(předvyplněný!Q3,"AAAAAH/8Hzk=")</f>
        <v>#VALUE!</v>
      </c>
      <c r="BG1" t="e">
        <f>AND(předvyplněný!R3,"AAAAAH/8Hzo=")</f>
        <v>#VALUE!</v>
      </c>
      <c r="BH1" t="e">
        <f>AND(předvyplněný!S3,"AAAAAH/8Hzs=")</f>
        <v>#VALUE!</v>
      </c>
      <c r="BI1" s="60">
        <f>IF(předvyplněný!4:4,"AAAAAH/8Hzw=",0)</f>
        <v>0</v>
      </c>
      <c r="BJ1" t="e">
        <f>AND(předvyplněný!A4,"AAAAAH/8Hz0=")</f>
        <v>#VALUE!</v>
      </c>
      <c r="BK1" t="e">
        <f>AND(předvyplněný!B4,"AAAAAH/8Hz4=")</f>
        <v>#VALUE!</v>
      </c>
      <c r="BL1" t="e">
        <f>AND(předvyplněný!C4,"AAAAAH/8Hz8=")</f>
        <v>#VALUE!</v>
      </c>
      <c r="BM1" t="e">
        <f>AND(předvyplněný!D4,"AAAAAH/8H0A=")</f>
        <v>#VALUE!</v>
      </c>
      <c r="BN1" t="e">
        <f>AND(předvyplněný!E4,"AAAAAH/8H0E=")</f>
        <v>#VALUE!</v>
      </c>
      <c r="BO1" t="e">
        <f>AND(předvyplněný!F4,"AAAAAH/8H0I=")</f>
        <v>#VALUE!</v>
      </c>
      <c r="BP1" t="e">
        <f>AND(předvyplněný!G4,"AAAAAH/8H0M=")</f>
        <v>#VALUE!</v>
      </c>
      <c r="BQ1" t="e">
        <f>AND(předvyplněný!H4,"AAAAAH/8H0Q=")</f>
        <v>#VALUE!</v>
      </c>
      <c r="BR1" t="e">
        <f>AND(předvyplněný!I4,"AAAAAH/8H0U=")</f>
        <v>#VALUE!</v>
      </c>
      <c r="BS1" t="e">
        <f>AND(předvyplněný!J4,"AAAAAH/8H0Y=")</f>
        <v>#VALUE!</v>
      </c>
      <c r="BT1" t="e">
        <f>AND(předvyplněný!K4,"AAAAAH/8H0c=")</f>
        <v>#VALUE!</v>
      </c>
      <c r="BU1" t="e">
        <f>AND(předvyplněný!L4,"AAAAAH/8H0g=")</f>
        <v>#VALUE!</v>
      </c>
      <c r="BV1" t="e">
        <f>AND(předvyplněný!M4,"AAAAAH/8H0k=")</f>
        <v>#VALUE!</v>
      </c>
      <c r="BW1" t="e">
        <f>AND(předvyplněný!N4,"AAAAAH/8H0o=")</f>
        <v>#VALUE!</v>
      </c>
      <c r="BX1" t="e">
        <f>AND(předvyplněný!O4,"AAAAAH/8H0s=")</f>
        <v>#VALUE!</v>
      </c>
      <c r="BY1" t="e">
        <f>AND(předvyplněný!P4,"AAAAAH/8H0w=")</f>
        <v>#VALUE!</v>
      </c>
      <c r="BZ1" t="e">
        <f>AND(předvyplněný!Q4,"AAAAAH/8H00=")</f>
        <v>#VALUE!</v>
      </c>
      <c r="CA1" t="e">
        <f>AND(předvyplněný!R4,"AAAAAH/8H04=")</f>
        <v>#VALUE!</v>
      </c>
      <c r="CB1" t="e">
        <f>AND(předvyplněný!S4,"AAAAAH/8H08=")</f>
        <v>#VALUE!</v>
      </c>
      <c r="CC1" s="60">
        <f>IF(předvyplněný!5:5,"AAAAAH/8H1A=",0)</f>
        <v>0</v>
      </c>
      <c r="CD1" t="e">
        <f>AND(předvyplněný!A5,"AAAAAH/8H1E=")</f>
        <v>#VALUE!</v>
      </c>
      <c r="CE1" t="e">
        <f>AND(předvyplněný!B5,"AAAAAH/8H1I=")</f>
        <v>#VALUE!</v>
      </c>
      <c r="CF1" t="e">
        <f>AND(předvyplněný!C5,"AAAAAH/8H1M=")</f>
        <v>#VALUE!</v>
      </c>
      <c r="CG1" t="e">
        <f>AND(předvyplněný!D5,"AAAAAH/8H1Q=")</f>
        <v>#VALUE!</v>
      </c>
      <c r="CH1" t="e">
        <f>AND(předvyplněný!E5,"AAAAAH/8H1U=")</f>
        <v>#VALUE!</v>
      </c>
      <c r="CI1" t="e">
        <f>AND(předvyplněný!F5,"AAAAAH/8H1Y=")</f>
        <v>#VALUE!</v>
      </c>
      <c r="CJ1" t="e">
        <f>AND(předvyplněný!G5,"AAAAAH/8H1c=")</f>
        <v>#VALUE!</v>
      </c>
      <c r="CK1" t="e">
        <f>AND(předvyplněný!H5,"AAAAAH/8H1g=")</f>
        <v>#VALUE!</v>
      </c>
      <c r="CL1" t="e">
        <f>AND(předvyplněný!I5,"AAAAAH/8H1k=")</f>
        <v>#VALUE!</v>
      </c>
      <c r="CM1" t="e">
        <f>AND(předvyplněný!J5,"AAAAAH/8H1o=")</f>
        <v>#VALUE!</v>
      </c>
      <c r="CN1" t="e">
        <f>AND(předvyplněný!K5,"AAAAAH/8H1s=")</f>
        <v>#VALUE!</v>
      </c>
      <c r="CO1" t="e">
        <f>AND(předvyplněný!L5,"AAAAAH/8H1w=")</f>
        <v>#VALUE!</v>
      </c>
      <c r="CP1" t="e">
        <f>AND(předvyplněný!M5,"AAAAAH/8H10=")</f>
        <v>#VALUE!</v>
      </c>
      <c r="CQ1" t="e">
        <f>AND(předvyplněný!N5,"AAAAAH/8H14=")</f>
        <v>#VALUE!</v>
      </c>
      <c r="CR1" t="e">
        <f>AND(předvyplněný!O5,"AAAAAH/8H18=")</f>
        <v>#VALUE!</v>
      </c>
      <c r="CS1" t="e">
        <f>AND(předvyplněný!P5,"AAAAAH/8H2A=")</f>
        <v>#VALUE!</v>
      </c>
      <c r="CT1" t="e">
        <f>AND(předvyplněný!Q5,"AAAAAH/8H2E=")</f>
        <v>#VALUE!</v>
      </c>
      <c r="CU1" t="e">
        <f>AND(předvyplněný!R5,"AAAAAH/8H2I=")</f>
        <v>#VALUE!</v>
      </c>
      <c r="CV1" t="e">
        <f>AND(předvyplněný!S5,"AAAAAH/8H2M=")</f>
        <v>#VALUE!</v>
      </c>
      <c r="CW1" s="60">
        <f>IF(předvyplněný!6:6,"AAAAAH/8H2Q=",0)</f>
        <v>0</v>
      </c>
      <c r="CX1" t="e">
        <f>AND(předvyplněný!A6,"AAAAAH/8H2U=")</f>
        <v>#VALUE!</v>
      </c>
      <c r="CY1" t="e">
        <f>AND(předvyplněný!B6,"AAAAAH/8H2Y=")</f>
        <v>#VALUE!</v>
      </c>
      <c r="CZ1" t="e">
        <f>AND(předvyplněný!C6,"AAAAAH/8H2c=")</f>
        <v>#VALUE!</v>
      </c>
      <c r="DA1" t="e">
        <f>AND(předvyplněný!D6,"AAAAAH/8H2g=")</f>
        <v>#VALUE!</v>
      </c>
      <c r="DB1" t="e">
        <f>AND(předvyplněný!E6,"AAAAAH/8H2k=")</f>
        <v>#VALUE!</v>
      </c>
      <c r="DC1" t="e">
        <f>AND(předvyplněný!F6,"AAAAAH/8H2o=")</f>
        <v>#VALUE!</v>
      </c>
      <c r="DD1" t="e">
        <f>AND(předvyplněný!G6,"AAAAAH/8H2s=")</f>
        <v>#VALUE!</v>
      </c>
      <c r="DE1" t="e">
        <f>AND(předvyplněný!H6,"AAAAAH/8H2w=")</f>
        <v>#VALUE!</v>
      </c>
      <c r="DF1" t="e">
        <f>AND(předvyplněný!I6,"AAAAAH/8H20=")</f>
        <v>#VALUE!</v>
      </c>
      <c r="DG1" t="e">
        <f>AND(předvyplněný!J6,"AAAAAH/8H24=")</f>
        <v>#VALUE!</v>
      </c>
      <c r="DH1" t="e">
        <f>AND(předvyplněný!K6,"AAAAAH/8H28=")</f>
        <v>#VALUE!</v>
      </c>
      <c r="DI1" t="e">
        <f>AND(předvyplněný!L6,"AAAAAH/8H3A=")</f>
        <v>#VALUE!</v>
      </c>
      <c r="DJ1" t="e">
        <f>AND(předvyplněný!M6,"AAAAAH/8H3E=")</f>
        <v>#VALUE!</v>
      </c>
      <c r="DK1" t="e">
        <f>AND(předvyplněný!N6,"AAAAAH/8H3I=")</f>
        <v>#VALUE!</v>
      </c>
      <c r="DL1" t="e">
        <f>AND(předvyplněný!O6,"AAAAAH/8H3M=")</f>
        <v>#VALUE!</v>
      </c>
      <c r="DM1" t="e">
        <f>AND(předvyplněný!P6,"AAAAAH/8H3Q=")</f>
        <v>#VALUE!</v>
      </c>
      <c r="DN1" t="e">
        <f>AND(předvyplněný!Q6,"AAAAAH/8H3U=")</f>
        <v>#VALUE!</v>
      </c>
      <c r="DO1" t="e">
        <f>AND(předvyplněný!R6,"AAAAAH/8H3Y=")</f>
        <v>#VALUE!</v>
      </c>
      <c r="DP1" t="e">
        <f>AND(předvyplněný!S6,"AAAAAH/8H3c=")</f>
        <v>#VALUE!</v>
      </c>
      <c r="DQ1" s="60">
        <f>IF(předvyplněný!7:7,"AAAAAH/8H3g=",0)</f>
        <v>0</v>
      </c>
      <c r="DR1" t="e">
        <f>AND(předvyplněný!A7,"AAAAAH/8H3k=")</f>
        <v>#VALUE!</v>
      </c>
      <c r="DS1" t="e">
        <f>AND(předvyplněný!B7,"AAAAAH/8H3o=")</f>
        <v>#VALUE!</v>
      </c>
      <c r="DT1" t="e">
        <f>AND(předvyplněný!C7,"AAAAAH/8H3s=")</f>
        <v>#VALUE!</v>
      </c>
      <c r="DU1" t="e">
        <f>AND(předvyplněný!D7,"AAAAAH/8H3w=")</f>
        <v>#VALUE!</v>
      </c>
      <c r="DV1" t="e">
        <f>AND(předvyplněný!E7,"AAAAAH/8H30=")</f>
        <v>#VALUE!</v>
      </c>
      <c r="DW1" t="e">
        <f>AND(předvyplněný!F7,"AAAAAH/8H34=")</f>
        <v>#VALUE!</v>
      </c>
      <c r="DX1" t="e">
        <f>AND(předvyplněný!G7,"AAAAAH/8H38=")</f>
        <v>#VALUE!</v>
      </c>
      <c r="DY1" t="e">
        <f>AND(předvyplněný!H7,"AAAAAH/8H4A=")</f>
        <v>#VALUE!</v>
      </c>
      <c r="DZ1" t="e">
        <f>AND(předvyplněný!I7,"AAAAAH/8H4E=")</f>
        <v>#VALUE!</v>
      </c>
      <c r="EA1" t="e">
        <f>AND(předvyplněný!J7,"AAAAAH/8H4I=")</f>
        <v>#VALUE!</v>
      </c>
      <c r="EB1" t="e">
        <f>AND(předvyplněný!K7,"AAAAAH/8H4M=")</f>
        <v>#VALUE!</v>
      </c>
      <c r="EC1" t="e">
        <f>AND(předvyplněný!L7,"AAAAAH/8H4Q=")</f>
        <v>#VALUE!</v>
      </c>
      <c r="ED1" t="e">
        <f>AND(předvyplněný!M7,"AAAAAH/8H4U=")</f>
        <v>#VALUE!</v>
      </c>
      <c r="EE1" t="e">
        <f>AND(předvyplněný!N7,"AAAAAH/8H4Y=")</f>
        <v>#VALUE!</v>
      </c>
      <c r="EF1" t="e">
        <f>AND(předvyplněný!O7,"AAAAAH/8H4c=")</f>
        <v>#VALUE!</v>
      </c>
      <c r="EG1" t="e">
        <f>AND(předvyplněný!P7,"AAAAAH/8H4g=")</f>
        <v>#VALUE!</v>
      </c>
      <c r="EH1" t="e">
        <f>AND(předvyplněný!Q7,"AAAAAH/8H4k=")</f>
        <v>#VALUE!</v>
      </c>
      <c r="EI1" t="e">
        <f>AND(předvyplněný!R7,"AAAAAH/8H4o=")</f>
        <v>#VALUE!</v>
      </c>
      <c r="EJ1" t="e">
        <f>AND(předvyplněný!S7,"AAAAAH/8H4s=")</f>
        <v>#VALUE!</v>
      </c>
      <c r="EK1" s="60">
        <f>IF(předvyplněný!8:8,"AAAAAH/8H4w=",0)</f>
        <v>0</v>
      </c>
      <c r="EL1" t="e">
        <f>AND(předvyplněný!A8,"AAAAAH/8H40=")</f>
        <v>#VALUE!</v>
      </c>
      <c r="EM1" t="e">
        <f>AND(předvyplněný!B8,"AAAAAH/8H44=")</f>
        <v>#VALUE!</v>
      </c>
      <c r="EN1" t="e">
        <f>AND(předvyplněný!C8,"AAAAAH/8H48=")</f>
        <v>#VALUE!</v>
      </c>
      <c r="EO1" t="e">
        <f>AND(předvyplněný!D8,"AAAAAH/8H5A=")</f>
        <v>#VALUE!</v>
      </c>
      <c r="EP1" t="e">
        <f>AND(předvyplněný!E8,"AAAAAH/8H5E=")</f>
        <v>#VALUE!</v>
      </c>
      <c r="EQ1" t="e">
        <f>AND(předvyplněný!F8,"AAAAAH/8H5I=")</f>
        <v>#VALUE!</v>
      </c>
      <c r="ER1" t="e">
        <f>AND(předvyplněný!G8,"AAAAAH/8H5M=")</f>
        <v>#VALUE!</v>
      </c>
      <c r="ES1" t="e">
        <f>AND(předvyplněný!H8,"AAAAAH/8H5Q=")</f>
        <v>#VALUE!</v>
      </c>
      <c r="ET1" t="e">
        <f>AND(předvyplněný!I8,"AAAAAH/8H5U=")</f>
        <v>#VALUE!</v>
      </c>
      <c r="EU1" t="e">
        <f>AND(předvyplněný!J8,"AAAAAH/8H5Y=")</f>
        <v>#VALUE!</v>
      </c>
      <c r="EV1" t="e">
        <f>AND(předvyplněný!K8,"AAAAAH/8H5c=")</f>
        <v>#VALUE!</v>
      </c>
      <c r="EW1" t="e">
        <f>AND(předvyplněný!L8,"AAAAAH/8H5g=")</f>
        <v>#VALUE!</v>
      </c>
      <c r="EX1" t="e">
        <f>AND(předvyplněný!M8,"AAAAAH/8H5k=")</f>
        <v>#VALUE!</v>
      </c>
      <c r="EY1" t="e">
        <f>AND(předvyplněný!N8,"AAAAAH/8H5o=")</f>
        <v>#VALUE!</v>
      </c>
      <c r="EZ1" t="e">
        <f>AND(předvyplněný!O8,"AAAAAH/8H5s=")</f>
        <v>#VALUE!</v>
      </c>
      <c r="FA1" t="e">
        <f>AND(předvyplněný!P8,"AAAAAH/8H5w=")</f>
        <v>#VALUE!</v>
      </c>
      <c r="FB1" t="e">
        <f>AND(předvyplněný!Q8,"AAAAAH/8H50=")</f>
        <v>#VALUE!</v>
      </c>
      <c r="FC1" t="e">
        <f>AND(předvyplněný!R8,"AAAAAH/8H54=")</f>
        <v>#VALUE!</v>
      </c>
      <c r="FD1" t="e">
        <f>AND(předvyplněný!S8,"AAAAAH/8H58=")</f>
        <v>#VALUE!</v>
      </c>
      <c r="FE1" s="60">
        <f>IF(předvyplněný!9:9,"AAAAAH/8H6A=",0)</f>
        <v>0</v>
      </c>
      <c r="FF1" t="e">
        <f>AND(předvyplněný!A9,"AAAAAH/8H6E=")</f>
        <v>#VALUE!</v>
      </c>
      <c r="FG1" t="e">
        <f>AND(předvyplněný!B9,"AAAAAH/8H6I=")</f>
        <v>#VALUE!</v>
      </c>
      <c r="FH1" t="e">
        <f>AND(předvyplněný!C9,"AAAAAH/8H6M=")</f>
        <v>#VALUE!</v>
      </c>
      <c r="FI1" t="e">
        <f>AND(předvyplněný!D9,"AAAAAH/8H6Q=")</f>
        <v>#VALUE!</v>
      </c>
      <c r="FJ1" t="e">
        <f>AND(předvyplněný!E9,"AAAAAH/8H6U=")</f>
        <v>#VALUE!</v>
      </c>
      <c r="FK1" t="e">
        <f>AND(předvyplněný!F9,"AAAAAH/8H6Y=")</f>
        <v>#VALUE!</v>
      </c>
      <c r="FL1" t="e">
        <f>AND(předvyplněný!G9,"AAAAAH/8H6c=")</f>
        <v>#VALUE!</v>
      </c>
      <c r="FM1" t="e">
        <f>AND(předvyplněný!H9,"AAAAAH/8H6g=")</f>
        <v>#VALUE!</v>
      </c>
      <c r="FN1" t="e">
        <f>AND(předvyplněný!#REF!,"AAAAAH/8H6k=")</f>
        <v>#REF!</v>
      </c>
      <c r="FO1" t="e">
        <f>AND(předvyplněný!#REF!,"AAAAAH/8H6o=")</f>
        <v>#REF!</v>
      </c>
      <c r="FP1" t="e">
        <f>AND(předvyplněný!#REF!,"AAAAAH/8H6s=")</f>
        <v>#REF!</v>
      </c>
      <c r="FQ1" t="e">
        <f>AND(předvyplněný!#REF!,"AAAAAH/8H6w=")</f>
        <v>#REF!</v>
      </c>
      <c r="FR1" t="e">
        <f>AND(předvyplněný!#REF!,"AAAAAH/8H60=")</f>
        <v>#REF!</v>
      </c>
      <c r="FS1" t="e">
        <f>AND(předvyplněný!#REF!,"AAAAAH/8H64=")</f>
        <v>#REF!</v>
      </c>
      <c r="FT1" t="e">
        <f>AND(předvyplněný!#REF!,"AAAAAH/8H68=")</f>
        <v>#REF!</v>
      </c>
      <c r="FU1" t="e">
        <f>AND(předvyplněný!P9,"AAAAAH/8H7A=")</f>
        <v>#VALUE!</v>
      </c>
      <c r="FV1" t="e">
        <f>AND(předvyplněný!Q9,"AAAAAH/8H7E=")</f>
        <v>#VALUE!</v>
      </c>
      <c r="FW1" t="e">
        <f>AND(předvyplněný!R9,"AAAAAH/8H7I=")</f>
        <v>#VALUE!</v>
      </c>
      <c r="FX1" t="e">
        <f>AND(předvyplněný!S9,"AAAAAH/8H7M=")</f>
        <v>#VALUE!</v>
      </c>
      <c r="FY1" s="60">
        <f>IF(předvyplněný!10:10,"AAAAAH/8H7Q=",0)</f>
        <v>0</v>
      </c>
      <c r="FZ1" t="e">
        <f>AND(předvyplněný!A10,"AAAAAH/8H7U=")</f>
        <v>#VALUE!</v>
      </c>
      <c r="GA1" t="e">
        <f>AND(předvyplněný!B10,"AAAAAH/8H7Y=")</f>
        <v>#VALUE!</v>
      </c>
      <c r="GB1" t="e">
        <f>AND(předvyplněný!C10,"AAAAAH/8H7c=")</f>
        <v>#VALUE!</v>
      </c>
      <c r="GC1" t="e">
        <f>AND(předvyplněný!D10,"AAAAAH/8H7g=")</f>
        <v>#VALUE!</v>
      </c>
      <c r="GD1" t="e">
        <f>AND(předvyplněný!E10,"AAAAAH/8H7k=")</f>
        <v>#VALUE!</v>
      </c>
      <c r="GE1" t="e">
        <f>AND(předvyplněný!F10,"AAAAAH/8H7o=")</f>
        <v>#VALUE!</v>
      </c>
      <c r="GF1" t="e">
        <f>AND(předvyplněný!G10,"AAAAAH/8H7s=")</f>
        <v>#VALUE!</v>
      </c>
      <c r="GG1" t="e">
        <f>AND(předvyplněný!H10,"AAAAAH/8H7w=")</f>
        <v>#VALUE!</v>
      </c>
      <c r="GH1" t="e">
        <f>AND(předvyplněný!#REF!,"AAAAAH/8H70=")</f>
        <v>#REF!</v>
      </c>
      <c r="GI1" t="e">
        <f>AND(předvyplněný!#REF!,"AAAAAH/8H74=")</f>
        <v>#REF!</v>
      </c>
      <c r="GJ1" t="e">
        <f>AND(předvyplněný!#REF!,"AAAAAH/8H78=")</f>
        <v>#REF!</v>
      </c>
      <c r="GK1" t="e">
        <f>AND(předvyplněný!#REF!,"AAAAAH/8H8A=")</f>
        <v>#REF!</v>
      </c>
      <c r="GL1" t="e">
        <f>AND(předvyplněný!#REF!,"AAAAAH/8H8E=")</f>
        <v>#REF!</v>
      </c>
      <c r="GM1" t="e">
        <f>AND(předvyplněný!#REF!,"AAAAAH/8H8I=")</f>
        <v>#REF!</v>
      </c>
      <c r="GN1" t="e">
        <f>AND(předvyplněný!#REF!,"AAAAAH/8H8M=")</f>
        <v>#REF!</v>
      </c>
      <c r="GO1" t="e">
        <f>AND(předvyplněný!P10,"AAAAAH/8H8Q=")</f>
        <v>#VALUE!</v>
      </c>
      <c r="GP1" t="e">
        <f>AND(předvyplněný!Q10,"AAAAAH/8H8U=")</f>
        <v>#VALUE!</v>
      </c>
      <c r="GQ1" t="e">
        <f>AND(předvyplněný!R10,"AAAAAH/8H8Y=")</f>
        <v>#VALUE!</v>
      </c>
      <c r="GR1" t="e">
        <f>AND(předvyplněný!S10,"AAAAAH/8H8c=")</f>
        <v>#VALUE!</v>
      </c>
      <c r="GS1" s="60">
        <f>IF(předvyplněný!11:11,"AAAAAH/8H8g=",0)</f>
        <v>0</v>
      </c>
      <c r="GT1" t="e">
        <f>AND(předvyplněný!A11,"AAAAAH/8H8k=")</f>
        <v>#VALUE!</v>
      </c>
      <c r="GU1" t="e">
        <f>AND(předvyplněný!B11,"AAAAAH/8H8o=")</f>
        <v>#VALUE!</v>
      </c>
      <c r="GV1" t="e">
        <f>AND(předvyplněný!C11,"AAAAAH/8H8s=")</f>
        <v>#VALUE!</v>
      </c>
      <c r="GW1" t="e">
        <f>AND(předvyplněný!D11,"AAAAAH/8H8w=")</f>
        <v>#VALUE!</v>
      </c>
      <c r="GX1" t="e">
        <f>AND(předvyplněný!E11,"AAAAAH/8H80=")</f>
        <v>#VALUE!</v>
      </c>
      <c r="GY1" t="e">
        <f>AND(předvyplněný!F11,"AAAAAH/8H84=")</f>
        <v>#VALUE!</v>
      </c>
      <c r="GZ1" t="e">
        <f>AND(předvyplněný!G11,"AAAAAH/8H88=")</f>
        <v>#VALUE!</v>
      </c>
      <c r="HA1" t="e">
        <f>AND(předvyplněný!H11,"AAAAAH/8H9A=")</f>
        <v>#VALUE!</v>
      </c>
      <c r="HB1" t="e">
        <f>AND(předvyplněný!I11,"AAAAAH/8H9E=")</f>
        <v>#VALUE!</v>
      </c>
      <c r="HC1" t="e">
        <f>AND(předvyplněný!J11,"AAAAAH/8H9I=")</f>
        <v>#VALUE!</v>
      </c>
      <c r="HD1" t="e">
        <f>AND(předvyplněný!K11,"AAAAAH/8H9M=")</f>
        <v>#VALUE!</v>
      </c>
      <c r="HE1" t="e">
        <f>AND(předvyplněný!L11,"AAAAAH/8H9Q=")</f>
        <v>#VALUE!</v>
      </c>
      <c r="HF1" t="e">
        <f>AND(předvyplněný!M11,"AAAAAH/8H9U=")</f>
        <v>#VALUE!</v>
      </c>
      <c r="HG1" t="e">
        <f>AND(předvyplněný!N11,"AAAAAH/8H9Y=")</f>
        <v>#VALUE!</v>
      </c>
      <c r="HH1" t="e">
        <f>AND(předvyplněný!O11,"AAAAAH/8H9c=")</f>
        <v>#VALUE!</v>
      </c>
      <c r="HI1" t="e">
        <f>AND(předvyplněný!P11,"AAAAAH/8H9g=")</f>
        <v>#VALUE!</v>
      </c>
      <c r="HJ1" t="e">
        <f>AND(předvyplněný!Q11,"AAAAAH/8H9k=")</f>
        <v>#VALUE!</v>
      </c>
      <c r="HK1" t="e">
        <f>AND(předvyplněný!R11,"AAAAAH/8H9o=")</f>
        <v>#VALUE!</v>
      </c>
      <c r="HL1" t="e">
        <f>AND(předvyplněný!S11,"AAAAAH/8H9s=")</f>
        <v>#VALUE!</v>
      </c>
      <c r="HM1" s="60">
        <f>IF(předvyplněný!12:12,"AAAAAH/8H9w=",0)</f>
        <v>0</v>
      </c>
      <c r="HN1" t="e">
        <f>AND(předvyplněný!A12,"AAAAAH/8H90=")</f>
        <v>#VALUE!</v>
      </c>
      <c r="HO1" t="e">
        <f>AND(předvyplněný!B12,"AAAAAH/8H94=")</f>
        <v>#VALUE!</v>
      </c>
      <c r="HP1" t="e">
        <f>AND(předvyplněný!C12,"AAAAAH/8H98=")</f>
        <v>#VALUE!</v>
      </c>
      <c r="HQ1" t="e">
        <f>AND(předvyplněný!D12,"AAAAAH/8H+A=")</f>
        <v>#VALUE!</v>
      </c>
      <c r="HR1" t="e">
        <f>AND(předvyplněný!E12,"AAAAAH/8H+E=")</f>
        <v>#VALUE!</v>
      </c>
      <c r="HS1" t="e">
        <f>AND(předvyplněný!F12,"AAAAAH/8H+I=")</f>
        <v>#VALUE!</v>
      </c>
      <c r="HT1" t="e">
        <f>AND(předvyplněný!G12,"AAAAAH/8H+M=")</f>
        <v>#VALUE!</v>
      </c>
      <c r="HU1" t="e">
        <f>AND(předvyplněný!H12,"AAAAAH/8H+Q=")</f>
        <v>#VALUE!</v>
      </c>
      <c r="HV1" t="e">
        <f>AND(předvyplněný!I12,"AAAAAH/8H+U=")</f>
        <v>#VALUE!</v>
      </c>
      <c r="HW1" t="e">
        <f>AND(předvyplněný!J12,"AAAAAH/8H+Y=")</f>
        <v>#VALUE!</v>
      </c>
      <c r="HX1" t="e">
        <f>AND(předvyplněný!K12,"AAAAAH/8H+c=")</f>
        <v>#VALUE!</v>
      </c>
      <c r="HY1" t="e">
        <f>AND(předvyplněný!L12,"AAAAAH/8H+g=")</f>
        <v>#VALUE!</v>
      </c>
      <c r="HZ1" t="e">
        <f>AND(předvyplněný!M12,"AAAAAH/8H+k=")</f>
        <v>#VALUE!</v>
      </c>
      <c r="IA1" t="e">
        <f>AND(předvyplněný!N12,"AAAAAH/8H+o=")</f>
        <v>#VALUE!</v>
      </c>
      <c r="IB1" t="e">
        <f>AND(předvyplněný!O12,"AAAAAH/8H+s=")</f>
        <v>#VALUE!</v>
      </c>
      <c r="IC1" t="e">
        <f>AND(předvyplněný!P12,"AAAAAH/8H+w=")</f>
        <v>#VALUE!</v>
      </c>
      <c r="ID1" t="e">
        <f>AND(předvyplněný!Q12,"AAAAAH/8H+0=")</f>
        <v>#VALUE!</v>
      </c>
      <c r="IE1" t="e">
        <f>AND(předvyplněný!R12,"AAAAAH/8H+4=")</f>
        <v>#VALUE!</v>
      </c>
      <c r="IF1" t="e">
        <f>AND(předvyplněný!S12,"AAAAAH/8H+8=")</f>
        <v>#VALUE!</v>
      </c>
      <c r="IG1" s="60">
        <f>IF(předvyplněný!13:13,"AAAAAH/8H/A=",0)</f>
        <v>0</v>
      </c>
      <c r="IH1" t="e">
        <f>AND(předvyplněný!A13,"AAAAAH/8H/E=")</f>
        <v>#VALUE!</v>
      </c>
      <c r="II1" t="e">
        <f>AND(předvyplněný!B13,"AAAAAH/8H/I=")</f>
        <v>#VALUE!</v>
      </c>
      <c r="IJ1" t="e">
        <f>AND(předvyplněný!C13,"AAAAAH/8H/M=")</f>
        <v>#VALUE!</v>
      </c>
      <c r="IK1" t="e">
        <f>AND(předvyplněný!D13,"AAAAAH/8H/Q=")</f>
        <v>#VALUE!</v>
      </c>
      <c r="IL1" t="e">
        <f>AND(předvyplněný!E13,"AAAAAH/8H/U=")</f>
        <v>#VALUE!</v>
      </c>
      <c r="IM1" t="e">
        <f>AND(předvyplněný!F13,"AAAAAH/8H/Y=")</f>
        <v>#VALUE!</v>
      </c>
      <c r="IN1" t="e">
        <f>AND(předvyplněný!G13,"AAAAAH/8H/c=")</f>
        <v>#VALUE!</v>
      </c>
      <c r="IO1" t="e">
        <f>AND(předvyplněný!H13,"AAAAAH/8H/g=")</f>
        <v>#VALUE!</v>
      </c>
      <c r="IP1" t="e">
        <f>AND(předvyplněný!I13,"AAAAAH/8H/k=")</f>
        <v>#VALUE!</v>
      </c>
      <c r="IQ1" t="e">
        <f>AND(předvyplněný!J13,"AAAAAH/8H/o=")</f>
        <v>#VALUE!</v>
      </c>
      <c r="IR1" t="e">
        <f>AND(předvyplněný!K13,"AAAAAH/8H/s=")</f>
        <v>#VALUE!</v>
      </c>
      <c r="IS1" t="e">
        <f>AND(předvyplněný!L13,"AAAAAH/8H/w=")</f>
        <v>#VALUE!</v>
      </c>
      <c r="IT1" t="e">
        <f>AND(předvyplněný!M13,"AAAAAH/8H/0=")</f>
        <v>#VALUE!</v>
      </c>
      <c r="IU1" t="e">
        <f>AND(předvyplněný!N13,"AAAAAH/8H/4=")</f>
        <v>#VALUE!</v>
      </c>
      <c r="IV1" t="e">
        <f>AND(předvyplněný!O13,"AAAAAH/8H/8=")</f>
        <v>#VALUE!</v>
      </c>
    </row>
    <row r="2" spans="1:256">
      <c r="A2" t="e">
        <f>AND(předvyplněný!P13,"AAAAAG/e2QA=")</f>
        <v>#VALUE!</v>
      </c>
      <c r="B2" t="e">
        <f>AND(předvyplněný!Q13,"AAAAAG/e2QE=")</f>
        <v>#VALUE!</v>
      </c>
      <c r="C2" t="e">
        <f>AND(předvyplněný!R13,"AAAAAG/e2QI=")</f>
        <v>#VALUE!</v>
      </c>
      <c r="D2" t="e">
        <f>AND(předvyplněný!S13,"AAAAAG/e2QM=")</f>
        <v>#VALUE!</v>
      </c>
      <c r="E2" s="60">
        <f>IF(předvyplněný!14:14,"AAAAAG/e2QQ=",0)</f>
        <v>0</v>
      </c>
      <c r="F2" t="e">
        <f>AND(předvyplněný!A14,"AAAAAG/e2QU=")</f>
        <v>#VALUE!</v>
      </c>
      <c r="G2" t="e">
        <f>AND(předvyplněný!B14,"AAAAAG/e2QY=")</f>
        <v>#VALUE!</v>
      </c>
      <c r="H2" t="e">
        <f>AND(předvyplněný!C14,"AAAAAG/e2Qc=")</f>
        <v>#VALUE!</v>
      </c>
      <c r="I2" t="e">
        <f>AND(předvyplněný!D14,"AAAAAG/e2Qg=")</f>
        <v>#VALUE!</v>
      </c>
      <c r="J2" t="e">
        <f>AND(předvyplněný!E14,"AAAAAG/e2Qk=")</f>
        <v>#VALUE!</v>
      </c>
      <c r="K2" t="e">
        <f>AND(předvyplněný!F14,"AAAAAG/e2Qo=")</f>
        <v>#VALUE!</v>
      </c>
      <c r="L2" t="e">
        <f>AND(předvyplněný!G14,"AAAAAG/e2Qs=")</f>
        <v>#VALUE!</v>
      </c>
      <c r="M2" t="e">
        <f>AND(předvyplněný!H14,"AAAAAG/e2Qw=")</f>
        <v>#VALUE!</v>
      </c>
      <c r="N2" t="e">
        <f>AND(předvyplněný!I14,"AAAAAG/e2Q0=")</f>
        <v>#VALUE!</v>
      </c>
      <c r="O2" t="e">
        <f>AND(předvyplněný!J14,"AAAAAG/e2Q4=")</f>
        <v>#VALUE!</v>
      </c>
      <c r="P2" t="e">
        <f>AND(předvyplněný!K14,"AAAAAG/e2Q8=")</f>
        <v>#VALUE!</v>
      </c>
      <c r="Q2" t="e">
        <f>AND(předvyplněný!L14,"AAAAAG/e2RA=")</f>
        <v>#VALUE!</v>
      </c>
      <c r="R2" t="e">
        <f>AND(předvyplněný!M14,"AAAAAG/e2RE=")</f>
        <v>#VALUE!</v>
      </c>
      <c r="S2" t="e">
        <f>AND(předvyplněný!N14,"AAAAAG/e2RI=")</f>
        <v>#VALUE!</v>
      </c>
      <c r="T2" t="e">
        <f>AND(předvyplněný!O14,"AAAAAG/e2RM=")</f>
        <v>#VALUE!</v>
      </c>
      <c r="U2" t="e">
        <f>AND(předvyplněný!P14,"AAAAAG/e2RQ=")</f>
        <v>#VALUE!</v>
      </c>
      <c r="V2" t="e">
        <f>AND(předvyplněný!Q14,"AAAAAG/e2RU=")</f>
        <v>#VALUE!</v>
      </c>
      <c r="W2" t="e">
        <f>AND(předvyplněný!R14,"AAAAAG/e2RY=")</f>
        <v>#VALUE!</v>
      </c>
      <c r="X2" t="e">
        <f>AND(předvyplněný!S14,"AAAAAG/e2Rc=")</f>
        <v>#VALUE!</v>
      </c>
      <c r="Y2" s="60">
        <f>IF(předvyplněný!15:15,"AAAAAG/e2Rg=",0)</f>
        <v>0</v>
      </c>
      <c r="Z2" t="e">
        <f>AND(předvyplněný!A15,"AAAAAG/e2Rk=")</f>
        <v>#VALUE!</v>
      </c>
      <c r="AA2" t="e">
        <f>AND(předvyplněný!B15,"AAAAAG/e2Ro=")</f>
        <v>#VALUE!</v>
      </c>
      <c r="AB2" t="e">
        <f>AND(předvyplněný!C15,"AAAAAG/e2Rs=")</f>
        <v>#VALUE!</v>
      </c>
      <c r="AC2" t="e">
        <f>AND(předvyplněný!D15,"AAAAAG/e2Rw=")</f>
        <v>#VALUE!</v>
      </c>
      <c r="AD2" t="e">
        <f>AND(předvyplněný!E15,"AAAAAG/e2R0=")</f>
        <v>#VALUE!</v>
      </c>
      <c r="AE2" t="e">
        <f>AND(předvyplněný!F15,"AAAAAG/e2R4=")</f>
        <v>#VALUE!</v>
      </c>
      <c r="AF2" t="e">
        <f>AND(předvyplněný!G15,"AAAAAG/e2R8=")</f>
        <v>#VALUE!</v>
      </c>
      <c r="AG2" t="e">
        <f>AND(předvyplněný!H15,"AAAAAG/e2SA=")</f>
        <v>#VALUE!</v>
      </c>
      <c r="AH2" t="e">
        <f>AND(předvyplněný!I15,"AAAAAG/e2SE=")</f>
        <v>#VALUE!</v>
      </c>
      <c r="AI2" t="e">
        <f>AND(předvyplněný!J15,"AAAAAG/e2SI=")</f>
        <v>#VALUE!</v>
      </c>
      <c r="AJ2" t="e">
        <f>AND(předvyplněný!K15,"AAAAAG/e2SM=")</f>
        <v>#VALUE!</v>
      </c>
      <c r="AK2" t="e">
        <f>AND(předvyplněný!L15,"AAAAAG/e2SQ=")</f>
        <v>#VALUE!</v>
      </c>
      <c r="AL2" t="e">
        <f>AND(předvyplněný!M15,"AAAAAG/e2SU=")</f>
        <v>#VALUE!</v>
      </c>
      <c r="AM2" t="e">
        <f>AND(předvyplněný!N15,"AAAAAG/e2SY=")</f>
        <v>#VALUE!</v>
      </c>
      <c r="AN2" t="e">
        <f>AND(předvyplněný!O15,"AAAAAG/e2Sc=")</f>
        <v>#VALUE!</v>
      </c>
      <c r="AO2" t="e">
        <f>AND(předvyplněný!P15,"AAAAAG/e2Sg=")</f>
        <v>#VALUE!</v>
      </c>
      <c r="AP2" t="e">
        <f>AND(předvyplněný!Q15,"AAAAAG/e2Sk=")</f>
        <v>#VALUE!</v>
      </c>
      <c r="AQ2" t="e">
        <f>AND(předvyplněný!R15,"AAAAAG/e2So=")</f>
        <v>#VALUE!</v>
      </c>
      <c r="AR2" t="e">
        <f>AND(předvyplněný!S15,"AAAAAG/e2Ss=")</f>
        <v>#VALUE!</v>
      </c>
      <c r="AS2" s="60">
        <f>IF(předvyplněný!16:16,"AAAAAG/e2Sw=",0)</f>
        <v>0</v>
      </c>
      <c r="AT2" t="e">
        <f>AND(předvyplněný!A16,"AAAAAG/e2S0=")</f>
        <v>#VALUE!</v>
      </c>
      <c r="AU2" t="e">
        <f>AND(předvyplněný!B16,"AAAAAG/e2S4=")</f>
        <v>#VALUE!</v>
      </c>
      <c r="AV2" t="e">
        <f>AND(předvyplněný!C16,"AAAAAG/e2S8=")</f>
        <v>#VALUE!</v>
      </c>
      <c r="AW2" t="e">
        <f>AND(předvyplněný!D16,"AAAAAG/e2TA=")</f>
        <v>#VALUE!</v>
      </c>
      <c r="AX2" t="e">
        <f>AND(předvyplněný!E16,"AAAAAG/e2TE=")</f>
        <v>#VALUE!</v>
      </c>
      <c r="AY2" t="e">
        <f>AND(předvyplněný!F16,"AAAAAG/e2TI=")</f>
        <v>#VALUE!</v>
      </c>
      <c r="AZ2" t="e">
        <f>AND(předvyplněný!G16,"AAAAAG/e2TM=")</f>
        <v>#VALUE!</v>
      </c>
      <c r="BA2" t="e">
        <f>AND(předvyplněný!H16,"AAAAAG/e2TQ=")</f>
        <v>#VALUE!</v>
      </c>
      <c r="BB2" t="e">
        <f>AND(předvyplněný!I16,"AAAAAG/e2TU=")</f>
        <v>#VALUE!</v>
      </c>
      <c r="BC2" t="e">
        <f>AND(předvyplněný!J16,"AAAAAG/e2TY=")</f>
        <v>#VALUE!</v>
      </c>
      <c r="BD2" t="e">
        <f>AND(předvyplněný!K16,"AAAAAG/e2Tc=")</f>
        <v>#VALUE!</v>
      </c>
      <c r="BE2" t="e">
        <f>AND(předvyplněný!L16,"AAAAAG/e2Tg=")</f>
        <v>#VALUE!</v>
      </c>
      <c r="BF2" t="e">
        <f>AND(předvyplněný!M16,"AAAAAG/e2Tk=")</f>
        <v>#VALUE!</v>
      </c>
      <c r="BG2" t="e">
        <f>AND(předvyplněný!N16,"AAAAAG/e2To=")</f>
        <v>#VALUE!</v>
      </c>
      <c r="BH2" t="e">
        <f>AND(předvyplněný!O16,"AAAAAG/e2Ts=")</f>
        <v>#VALUE!</v>
      </c>
      <c r="BI2" t="e">
        <f>AND(předvyplněný!P16,"AAAAAG/e2Tw=")</f>
        <v>#VALUE!</v>
      </c>
      <c r="BJ2" t="e">
        <f>AND(předvyplněný!Q16,"AAAAAG/e2T0=")</f>
        <v>#VALUE!</v>
      </c>
      <c r="BK2" t="e">
        <f>AND(předvyplněný!R16,"AAAAAG/e2T4=")</f>
        <v>#VALUE!</v>
      </c>
      <c r="BL2" t="e">
        <f>AND(předvyplněný!S16,"AAAAAG/e2T8=")</f>
        <v>#VALUE!</v>
      </c>
      <c r="BM2" s="60">
        <f>IF(předvyplněný!17:17,"AAAAAG/e2UA=",0)</f>
        <v>0</v>
      </c>
      <c r="BN2" t="e">
        <f>AND(předvyplněný!A17,"AAAAAG/e2UE=")</f>
        <v>#VALUE!</v>
      </c>
      <c r="BO2" t="e">
        <f>AND(předvyplněný!B17,"AAAAAG/e2UI=")</f>
        <v>#VALUE!</v>
      </c>
      <c r="BP2" t="e">
        <f>AND(předvyplněný!C17,"AAAAAG/e2UM=")</f>
        <v>#VALUE!</v>
      </c>
      <c r="BQ2" t="e">
        <f>AND(předvyplněný!D17,"AAAAAG/e2UQ=")</f>
        <v>#VALUE!</v>
      </c>
      <c r="BR2" t="e">
        <f>AND(předvyplněný!E17,"AAAAAG/e2UU=")</f>
        <v>#VALUE!</v>
      </c>
      <c r="BS2" t="e">
        <f>AND(předvyplněný!F17,"AAAAAG/e2UY=")</f>
        <v>#VALUE!</v>
      </c>
      <c r="BT2" t="e">
        <f>AND(předvyplněný!G17,"AAAAAG/e2Uc=")</f>
        <v>#VALUE!</v>
      </c>
      <c r="BU2" t="e">
        <f>AND(předvyplněný!H17,"AAAAAG/e2Ug=")</f>
        <v>#VALUE!</v>
      </c>
      <c r="BV2" t="e">
        <f>AND(předvyplněný!I17,"AAAAAG/e2Uk=")</f>
        <v>#VALUE!</v>
      </c>
      <c r="BW2" t="e">
        <f>AND(předvyplněný!J17,"AAAAAG/e2Uo=")</f>
        <v>#VALUE!</v>
      </c>
      <c r="BX2" t="e">
        <f>AND(předvyplněný!K17,"AAAAAG/e2Us=")</f>
        <v>#VALUE!</v>
      </c>
      <c r="BY2" t="e">
        <f>AND(předvyplněný!L17,"AAAAAG/e2Uw=")</f>
        <v>#VALUE!</v>
      </c>
      <c r="BZ2" t="e">
        <f>AND(předvyplněný!M17,"AAAAAG/e2U0=")</f>
        <v>#VALUE!</v>
      </c>
      <c r="CA2" t="e">
        <f>AND(předvyplněný!N17,"AAAAAG/e2U4=")</f>
        <v>#VALUE!</v>
      </c>
      <c r="CB2" t="e">
        <f>AND(předvyplněný!O17,"AAAAAG/e2U8=")</f>
        <v>#VALUE!</v>
      </c>
      <c r="CC2" t="e">
        <f>AND(předvyplněný!P17,"AAAAAG/e2VA=")</f>
        <v>#VALUE!</v>
      </c>
      <c r="CD2" t="e">
        <f>AND(předvyplněný!Q17,"AAAAAG/e2VE=")</f>
        <v>#VALUE!</v>
      </c>
      <c r="CE2" t="e">
        <f>AND(předvyplněný!R17,"AAAAAG/e2VI=")</f>
        <v>#VALUE!</v>
      </c>
      <c r="CF2" t="e">
        <f>AND(předvyplněný!S17,"AAAAAG/e2VM=")</f>
        <v>#VALUE!</v>
      </c>
      <c r="CG2" s="60">
        <f>IF(předvyplněný!18:18,"AAAAAG/e2VQ=",0)</f>
        <v>0</v>
      </c>
      <c r="CH2" t="e">
        <f>AND(předvyplněný!A18,"AAAAAG/e2VU=")</f>
        <v>#VALUE!</v>
      </c>
      <c r="CI2" t="e">
        <f>AND(předvyplněný!B18,"AAAAAG/e2VY=")</f>
        <v>#VALUE!</v>
      </c>
      <c r="CJ2" t="e">
        <f>AND(předvyplněný!C18,"AAAAAG/e2Vc=")</f>
        <v>#VALUE!</v>
      </c>
      <c r="CK2" t="e">
        <f>AND(předvyplněný!D18,"AAAAAG/e2Vg=")</f>
        <v>#VALUE!</v>
      </c>
      <c r="CL2" t="e">
        <f>AND(předvyplněný!E18,"AAAAAG/e2Vk=")</f>
        <v>#VALUE!</v>
      </c>
      <c r="CM2" t="e">
        <f>AND(předvyplněný!F18,"AAAAAG/e2Vo=")</f>
        <v>#VALUE!</v>
      </c>
      <c r="CN2" t="e">
        <f>AND(předvyplněný!G18,"AAAAAG/e2Vs=")</f>
        <v>#VALUE!</v>
      </c>
      <c r="CO2" t="e">
        <f>AND(předvyplněný!H18,"AAAAAG/e2Vw=")</f>
        <v>#VALUE!</v>
      </c>
      <c r="CP2" t="e">
        <f>AND(předvyplněný!I18,"AAAAAG/e2V0=")</f>
        <v>#VALUE!</v>
      </c>
      <c r="CQ2" t="e">
        <f>AND(předvyplněný!J18,"AAAAAG/e2V4=")</f>
        <v>#VALUE!</v>
      </c>
      <c r="CR2" t="e">
        <f>AND(předvyplněný!K18,"AAAAAG/e2V8=")</f>
        <v>#VALUE!</v>
      </c>
      <c r="CS2" t="e">
        <f>AND(předvyplněný!L18,"AAAAAG/e2WA=")</f>
        <v>#VALUE!</v>
      </c>
      <c r="CT2" t="e">
        <f>AND(předvyplněný!M18,"AAAAAG/e2WE=")</f>
        <v>#VALUE!</v>
      </c>
      <c r="CU2" t="e">
        <f>AND(předvyplněný!N18,"AAAAAG/e2WI=")</f>
        <v>#VALUE!</v>
      </c>
      <c r="CV2" t="e">
        <f>AND(předvyplněný!O18,"AAAAAG/e2WM=")</f>
        <v>#VALUE!</v>
      </c>
      <c r="CW2" t="e">
        <f>AND(předvyplněný!P18,"AAAAAG/e2WQ=")</f>
        <v>#VALUE!</v>
      </c>
      <c r="CX2" t="e">
        <f>AND(předvyplněný!Q18,"AAAAAG/e2WU=")</f>
        <v>#VALUE!</v>
      </c>
      <c r="CY2" t="e">
        <f>AND(předvyplněný!R18,"AAAAAG/e2WY=")</f>
        <v>#VALUE!</v>
      </c>
      <c r="CZ2" t="e">
        <f>AND(předvyplněný!S18,"AAAAAG/e2Wc=")</f>
        <v>#VALUE!</v>
      </c>
      <c r="DA2" s="60">
        <f>IF(předvyplněný!19:19,"AAAAAG/e2Wg=",0)</f>
        <v>0</v>
      </c>
      <c r="DB2" t="e">
        <f>AND(předvyplněný!A19,"AAAAAG/e2Wk=")</f>
        <v>#VALUE!</v>
      </c>
      <c r="DC2" t="e">
        <f>AND(předvyplněný!B19,"AAAAAG/e2Wo=")</f>
        <v>#VALUE!</v>
      </c>
      <c r="DD2" t="e">
        <f>AND(předvyplněný!C19,"AAAAAG/e2Ws=")</f>
        <v>#VALUE!</v>
      </c>
      <c r="DE2" t="e">
        <f>AND(předvyplněný!D19,"AAAAAG/e2Ww=")</f>
        <v>#VALUE!</v>
      </c>
      <c r="DF2" t="e">
        <f>AND(předvyplněný!E19,"AAAAAG/e2W0=")</f>
        <v>#VALUE!</v>
      </c>
      <c r="DG2" t="e">
        <f>AND(předvyplněný!F19,"AAAAAG/e2W4=")</f>
        <v>#VALUE!</v>
      </c>
      <c r="DH2" t="e">
        <f>AND(předvyplněný!G19,"AAAAAG/e2W8=")</f>
        <v>#VALUE!</v>
      </c>
      <c r="DI2" t="e">
        <f>AND(předvyplněný!H19,"AAAAAG/e2XA=")</f>
        <v>#VALUE!</v>
      </c>
      <c r="DJ2" t="e">
        <f>AND(předvyplněný!I19,"AAAAAG/e2XE=")</f>
        <v>#VALUE!</v>
      </c>
      <c r="DK2" t="e">
        <f>AND(předvyplněný!J19,"AAAAAG/e2XI=")</f>
        <v>#VALUE!</v>
      </c>
      <c r="DL2" t="e">
        <f>AND(předvyplněný!K19,"AAAAAG/e2XM=")</f>
        <v>#VALUE!</v>
      </c>
      <c r="DM2" t="e">
        <f>AND(předvyplněný!L19,"AAAAAG/e2XQ=")</f>
        <v>#VALUE!</v>
      </c>
      <c r="DN2" t="e">
        <f>AND(předvyplněný!M19,"AAAAAG/e2XU=")</f>
        <v>#VALUE!</v>
      </c>
      <c r="DO2" t="e">
        <f>AND(předvyplněný!N19,"AAAAAG/e2XY=")</f>
        <v>#VALUE!</v>
      </c>
      <c r="DP2" t="e">
        <f>AND(předvyplněný!O19,"AAAAAG/e2Xc=")</f>
        <v>#VALUE!</v>
      </c>
      <c r="DQ2" t="e">
        <f>AND(předvyplněný!P19,"AAAAAG/e2Xg=")</f>
        <v>#VALUE!</v>
      </c>
      <c r="DR2" t="e">
        <f>AND(předvyplněný!Q19,"AAAAAG/e2Xk=")</f>
        <v>#VALUE!</v>
      </c>
      <c r="DS2" t="e">
        <f>AND(předvyplněný!R19,"AAAAAG/e2Xo=")</f>
        <v>#VALUE!</v>
      </c>
      <c r="DT2" t="e">
        <f>AND(předvyplněný!S19,"AAAAAG/e2Xs=")</f>
        <v>#VALUE!</v>
      </c>
      <c r="DU2" s="60">
        <f>IF(předvyplněný!20:20,"AAAAAG/e2Xw=",0)</f>
        <v>0</v>
      </c>
      <c r="DV2" t="e">
        <f>AND(předvyplněný!A20,"AAAAAG/e2X0=")</f>
        <v>#VALUE!</v>
      </c>
      <c r="DW2" t="e">
        <f>AND(předvyplněný!B20,"AAAAAG/e2X4=")</f>
        <v>#VALUE!</v>
      </c>
      <c r="DX2" t="e">
        <f>AND(předvyplněný!C20,"AAAAAG/e2X8=")</f>
        <v>#VALUE!</v>
      </c>
      <c r="DY2" t="e">
        <f>AND(předvyplněný!D20,"AAAAAG/e2YA=")</f>
        <v>#VALUE!</v>
      </c>
      <c r="DZ2" t="e">
        <f>AND(předvyplněný!E20,"AAAAAG/e2YE=")</f>
        <v>#VALUE!</v>
      </c>
      <c r="EA2" t="e">
        <f>AND(předvyplněný!F20,"AAAAAG/e2YI=")</f>
        <v>#VALUE!</v>
      </c>
      <c r="EB2" t="e">
        <f>AND(předvyplněný!G20,"AAAAAG/e2YM=")</f>
        <v>#VALUE!</v>
      </c>
      <c r="EC2" t="e">
        <f>AND(předvyplněný!H20,"AAAAAG/e2YQ=")</f>
        <v>#VALUE!</v>
      </c>
      <c r="ED2" t="e">
        <f>AND(předvyplněný!I20,"AAAAAG/e2YU=")</f>
        <v>#VALUE!</v>
      </c>
      <c r="EE2" t="e">
        <f>AND(předvyplněný!J20,"AAAAAG/e2YY=")</f>
        <v>#VALUE!</v>
      </c>
      <c r="EF2" t="e">
        <f>AND(předvyplněný!K20,"AAAAAG/e2Yc=")</f>
        <v>#VALUE!</v>
      </c>
      <c r="EG2" t="e">
        <f>AND(předvyplněný!L20,"AAAAAG/e2Yg=")</f>
        <v>#VALUE!</v>
      </c>
      <c r="EH2" t="e">
        <f>AND(předvyplněný!M20,"AAAAAG/e2Yk=")</f>
        <v>#VALUE!</v>
      </c>
      <c r="EI2" t="e">
        <f>AND(předvyplněný!N20,"AAAAAG/e2Yo=")</f>
        <v>#VALUE!</v>
      </c>
      <c r="EJ2" t="e">
        <f>AND(předvyplněný!O20,"AAAAAG/e2Ys=")</f>
        <v>#VALUE!</v>
      </c>
      <c r="EK2" t="e">
        <f>AND(předvyplněný!P20,"AAAAAG/e2Yw=")</f>
        <v>#VALUE!</v>
      </c>
      <c r="EL2" t="e">
        <f>AND(předvyplněný!Q20,"AAAAAG/e2Y0=")</f>
        <v>#VALUE!</v>
      </c>
      <c r="EM2" t="e">
        <f>AND(předvyplněný!R20,"AAAAAG/e2Y4=")</f>
        <v>#VALUE!</v>
      </c>
      <c r="EN2" t="e">
        <f>AND(předvyplněný!S20,"AAAAAG/e2Y8=")</f>
        <v>#VALUE!</v>
      </c>
      <c r="EO2" s="60">
        <f>IF(předvyplněný!21:21,"AAAAAG/e2ZA=",0)</f>
        <v>0</v>
      </c>
      <c r="EP2" t="e">
        <f>AND(předvyplněný!A21,"AAAAAG/e2ZE=")</f>
        <v>#VALUE!</v>
      </c>
      <c r="EQ2" t="e">
        <f>AND(předvyplněný!B21,"AAAAAG/e2ZI=")</f>
        <v>#VALUE!</v>
      </c>
      <c r="ER2" t="e">
        <f>AND(předvyplněný!C21,"AAAAAG/e2ZM=")</f>
        <v>#VALUE!</v>
      </c>
      <c r="ES2" t="e">
        <f>AND(předvyplněný!D21,"AAAAAG/e2ZQ=")</f>
        <v>#VALUE!</v>
      </c>
      <c r="ET2" t="e">
        <f>AND(předvyplněný!E21,"AAAAAG/e2ZU=")</f>
        <v>#VALUE!</v>
      </c>
      <c r="EU2" t="e">
        <f>AND(předvyplněný!F21,"AAAAAG/e2ZY=")</f>
        <v>#VALUE!</v>
      </c>
      <c r="EV2" t="e">
        <f>AND(předvyplněný!G21,"AAAAAG/e2Zc=")</f>
        <v>#VALUE!</v>
      </c>
      <c r="EW2" t="e">
        <f>AND(předvyplněný!H21,"AAAAAG/e2Zg=")</f>
        <v>#VALUE!</v>
      </c>
      <c r="EX2" t="e">
        <f>AND(předvyplněný!I21,"AAAAAG/e2Zk=")</f>
        <v>#VALUE!</v>
      </c>
      <c r="EY2" t="e">
        <f>AND(předvyplněný!J21,"AAAAAG/e2Zo=")</f>
        <v>#VALUE!</v>
      </c>
      <c r="EZ2" t="e">
        <f>AND(předvyplněný!K21,"AAAAAG/e2Zs=")</f>
        <v>#VALUE!</v>
      </c>
      <c r="FA2" t="e">
        <f>AND(předvyplněný!L21,"AAAAAG/e2Zw=")</f>
        <v>#VALUE!</v>
      </c>
      <c r="FB2" t="e">
        <f>AND(předvyplněný!M21,"AAAAAG/e2Z0=")</f>
        <v>#VALUE!</v>
      </c>
      <c r="FC2" t="e">
        <f>AND(předvyplněný!N21,"AAAAAG/e2Z4=")</f>
        <v>#VALUE!</v>
      </c>
      <c r="FD2" t="e">
        <f>AND(předvyplněný!O21,"AAAAAG/e2Z8=")</f>
        <v>#VALUE!</v>
      </c>
      <c r="FE2" t="e">
        <f>AND(předvyplněný!P21,"AAAAAG/e2aA=")</f>
        <v>#VALUE!</v>
      </c>
      <c r="FF2" t="e">
        <f>AND(předvyplněný!Q21,"AAAAAG/e2aE=")</f>
        <v>#VALUE!</v>
      </c>
      <c r="FG2" t="e">
        <f>AND(předvyplněný!R21,"AAAAAG/e2aI=")</f>
        <v>#VALUE!</v>
      </c>
      <c r="FH2" t="e">
        <f>AND(předvyplněný!S21,"AAAAAG/e2aM=")</f>
        <v>#VALUE!</v>
      </c>
      <c r="FI2" s="60">
        <f>IF(předvyplněný!22:22,"AAAAAG/e2aQ=",0)</f>
        <v>0</v>
      </c>
      <c r="FJ2" t="e">
        <f>AND(předvyplněný!A22,"AAAAAG/e2aU=")</f>
        <v>#VALUE!</v>
      </c>
      <c r="FK2" t="e">
        <f>AND(předvyplněný!B22,"AAAAAG/e2aY=")</f>
        <v>#VALUE!</v>
      </c>
      <c r="FL2" t="e">
        <f>AND(předvyplněný!C22,"AAAAAG/e2ac=")</f>
        <v>#VALUE!</v>
      </c>
      <c r="FM2" t="e">
        <f>AND(předvyplněný!D22,"AAAAAG/e2ag=")</f>
        <v>#VALUE!</v>
      </c>
      <c r="FN2" t="e">
        <f>AND(předvyplněný!E22,"AAAAAG/e2ak=")</f>
        <v>#VALUE!</v>
      </c>
      <c r="FO2" t="e">
        <f>AND(předvyplněný!F22,"AAAAAG/e2ao=")</f>
        <v>#VALUE!</v>
      </c>
      <c r="FP2" t="e">
        <f>AND(předvyplněný!G22,"AAAAAG/e2as=")</f>
        <v>#VALUE!</v>
      </c>
      <c r="FQ2" t="e">
        <f>AND(předvyplněný!H22,"AAAAAG/e2aw=")</f>
        <v>#VALUE!</v>
      </c>
      <c r="FR2" t="e">
        <f>AND(předvyplněný!I22,"AAAAAG/e2a0=")</f>
        <v>#VALUE!</v>
      </c>
      <c r="FS2" t="e">
        <f>AND(předvyplněný!J22,"AAAAAG/e2a4=")</f>
        <v>#VALUE!</v>
      </c>
      <c r="FT2" t="e">
        <f>AND(předvyplněný!K22,"AAAAAG/e2a8=")</f>
        <v>#VALUE!</v>
      </c>
      <c r="FU2" t="e">
        <f>AND(předvyplněný!L22,"AAAAAG/e2bA=")</f>
        <v>#VALUE!</v>
      </c>
      <c r="FV2" t="e">
        <f>AND(předvyplněný!M22,"AAAAAG/e2bE=")</f>
        <v>#VALUE!</v>
      </c>
      <c r="FW2" t="e">
        <f>AND(předvyplněný!N22,"AAAAAG/e2bI=")</f>
        <v>#VALUE!</v>
      </c>
      <c r="FX2" t="e">
        <f>AND(předvyplněný!O22,"AAAAAG/e2bM=")</f>
        <v>#VALUE!</v>
      </c>
      <c r="FY2" t="e">
        <f>AND(předvyplněný!P22,"AAAAAG/e2bQ=")</f>
        <v>#VALUE!</v>
      </c>
      <c r="FZ2" t="e">
        <f>AND(předvyplněný!Q22,"AAAAAG/e2bU=")</f>
        <v>#VALUE!</v>
      </c>
      <c r="GA2" t="e">
        <f>AND(předvyplněný!R22,"AAAAAG/e2bY=")</f>
        <v>#VALUE!</v>
      </c>
      <c r="GB2" t="e">
        <f>AND(předvyplněný!S22,"AAAAAG/e2bc=")</f>
        <v>#VALUE!</v>
      </c>
      <c r="GC2" s="60">
        <f>IF(předvyplněný!23:23,"AAAAAG/e2bg=",0)</f>
        <v>0</v>
      </c>
      <c r="GD2" t="e">
        <f>AND(předvyplněný!A23,"AAAAAG/e2bk=")</f>
        <v>#VALUE!</v>
      </c>
      <c r="GE2" t="e">
        <f>AND(předvyplněný!B23,"AAAAAG/e2bo=")</f>
        <v>#VALUE!</v>
      </c>
      <c r="GF2" t="e">
        <f>AND(předvyplněný!C23,"AAAAAG/e2bs=")</f>
        <v>#VALUE!</v>
      </c>
      <c r="GG2" t="e">
        <f>AND(předvyplněný!D23,"AAAAAG/e2bw=")</f>
        <v>#VALUE!</v>
      </c>
      <c r="GH2" t="e">
        <f>AND(předvyplněný!E23,"AAAAAG/e2b0=")</f>
        <v>#VALUE!</v>
      </c>
      <c r="GI2" t="e">
        <f>AND(předvyplněný!F23,"AAAAAG/e2b4=")</f>
        <v>#VALUE!</v>
      </c>
      <c r="GJ2" t="e">
        <f>AND(předvyplněný!G23,"AAAAAG/e2b8=")</f>
        <v>#VALUE!</v>
      </c>
      <c r="GK2" t="e">
        <f>AND(předvyplněný!H23,"AAAAAG/e2cA=")</f>
        <v>#VALUE!</v>
      </c>
      <c r="GL2" t="e">
        <f>AND(předvyplněný!I23,"AAAAAG/e2cE=")</f>
        <v>#VALUE!</v>
      </c>
      <c r="GM2" t="e">
        <f>AND(předvyplněný!J23,"AAAAAG/e2cI=")</f>
        <v>#VALUE!</v>
      </c>
      <c r="GN2" t="e">
        <f>AND(předvyplněný!K23,"AAAAAG/e2cM=")</f>
        <v>#VALUE!</v>
      </c>
      <c r="GO2" t="e">
        <f>AND(předvyplněný!L23,"AAAAAG/e2cQ=")</f>
        <v>#VALUE!</v>
      </c>
      <c r="GP2" t="e">
        <f>AND(předvyplněný!M23,"AAAAAG/e2cU=")</f>
        <v>#VALUE!</v>
      </c>
      <c r="GQ2" t="e">
        <f>AND(předvyplněný!N23,"AAAAAG/e2cY=")</f>
        <v>#VALUE!</v>
      </c>
      <c r="GR2" t="e">
        <f>AND(předvyplněný!O23,"AAAAAG/e2cc=")</f>
        <v>#VALUE!</v>
      </c>
      <c r="GS2" t="e">
        <f>AND(předvyplněný!P23,"AAAAAG/e2cg=")</f>
        <v>#VALUE!</v>
      </c>
      <c r="GT2" t="e">
        <f>AND(předvyplněný!Q23,"AAAAAG/e2ck=")</f>
        <v>#VALUE!</v>
      </c>
      <c r="GU2" t="e">
        <f>AND(předvyplněný!R23,"AAAAAG/e2co=")</f>
        <v>#VALUE!</v>
      </c>
      <c r="GV2" t="e">
        <f>AND(předvyplněný!S23,"AAAAAG/e2cs=")</f>
        <v>#VALUE!</v>
      </c>
      <c r="GW2" s="60">
        <f>IF(předvyplněný!24:24,"AAAAAG/e2cw=",0)</f>
        <v>0</v>
      </c>
      <c r="GX2" t="e">
        <f>AND(předvyplněný!A24,"AAAAAG/e2c0=")</f>
        <v>#VALUE!</v>
      </c>
      <c r="GY2" t="e">
        <f>AND(předvyplněný!B24,"AAAAAG/e2c4=")</f>
        <v>#VALUE!</v>
      </c>
      <c r="GZ2" t="e">
        <f>AND(předvyplněný!C24,"AAAAAG/e2c8=")</f>
        <v>#VALUE!</v>
      </c>
      <c r="HA2" t="e">
        <f>AND(předvyplněný!D24,"AAAAAG/e2dA=")</f>
        <v>#VALUE!</v>
      </c>
      <c r="HB2" t="e">
        <f>AND(předvyplněný!E24,"AAAAAG/e2dE=")</f>
        <v>#VALUE!</v>
      </c>
      <c r="HC2" t="e">
        <f>AND(předvyplněný!F24,"AAAAAG/e2dI=")</f>
        <v>#VALUE!</v>
      </c>
      <c r="HD2" t="e">
        <f>AND(předvyplněný!G24,"AAAAAG/e2dM=")</f>
        <v>#VALUE!</v>
      </c>
      <c r="HE2" t="e">
        <f>AND(předvyplněný!H24,"AAAAAG/e2dQ=")</f>
        <v>#VALUE!</v>
      </c>
      <c r="HF2" t="e">
        <f>AND(předvyplněný!I24,"AAAAAG/e2dU=")</f>
        <v>#VALUE!</v>
      </c>
      <c r="HG2" t="e">
        <f>AND(předvyplněný!J24,"AAAAAG/e2dY=")</f>
        <v>#VALUE!</v>
      </c>
      <c r="HH2" t="e">
        <f>AND(předvyplněný!K24,"AAAAAG/e2dc=")</f>
        <v>#VALUE!</v>
      </c>
      <c r="HI2" t="e">
        <f>AND(předvyplněný!L24,"AAAAAG/e2dg=")</f>
        <v>#VALUE!</v>
      </c>
      <c r="HJ2" t="e">
        <f>AND(předvyplněný!M24,"AAAAAG/e2dk=")</f>
        <v>#VALUE!</v>
      </c>
      <c r="HK2" t="e">
        <f>AND(předvyplněný!N24,"AAAAAG/e2do=")</f>
        <v>#VALUE!</v>
      </c>
      <c r="HL2" t="e">
        <f>AND(předvyplněný!O24,"AAAAAG/e2ds=")</f>
        <v>#VALUE!</v>
      </c>
      <c r="HM2" t="e">
        <f>AND(předvyplněný!P24,"AAAAAG/e2dw=")</f>
        <v>#VALUE!</v>
      </c>
      <c r="HN2" t="e">
        <f>AND(předvyplněný!Q24,"AAAAAG/e2d0=")</f>
        <v>#VALUE!</v>
      </c>
      <c r="HO2" t="e">
        <f>AND(předvyplněný!R24,"AAAAAG/e2d4=")</f>
        <v>#VALUE!</v>
      </c>
      <c r="HP2" t="e">
        <f>AND(předvyplněný!S24,"AAAAAG/e2d8=")</f>
        <v>#VALUE!</v>
      </c>
      <c r="HQ2" s="60">
        <f>IF(předvyplněný!25:25,"AAAAAG/e2eA=",0)</f>
        <v>0</v>
      </c>
      <c r="HR2" t="e">
        <f>AND(předvyplněný!A25,"AAAAAG/e2eE=")</f>
        <v>#VALUE!</v>
      </c>
      <c r="HS2" t="e">
        <f>AND(předvyplněný!B25,"AAAAAG/e2eI=")</f>
        <v>#VALUE!</v>
      </c>
      <c r="HT2" t="e">
        <f>AND(předvyplněný!C25,"AAAAAG/e2eM=")</f>
        <v>#VALUE!</v>
      </c>
      <c r="HU2" t="e">
        <f>AND(předvyplněný!D25,"AAAAAG/e2eQ=")</f>
        <v>#VALUE!</v>
      </c>
      <c r="HV2" t="e">
        <f>AND(předvyplněný!E25,"AAAAAG/e2eU=")</f>
        <v>#VALUE!</v>
      </c>
      <c r="HW2" t="e">
        <f>AND(předvyplněný!F25,"AAAAAG/e2eY=")</f>
        <v>#VALUE!</v>
      </c>
      <c r="HX2" t="e">
        <f>AND(předvyplněný!G25,"AAAAAG/e2ec=")</f>
        <v>#VALUE!</v>
      </c>
      <c r="HY2" t="e">
        <f>AND(předvyplněný!H25,"AAAAAG/e2eg=")</f>
        <v>#VALUE!</v>
      </c>
      <c r="HZ2" t="e">
        <f>AND(předvyplněný!I25,"AAAAAG/e2ek=")</f>
        <v>#VALUE!</v>
      </c>
      <c r="IA2" t="e">
        <f>AND(předvyplněný!J25,"AAAAAG/e2eo=")</f>
        <v>#VALUE!</v>
      </c>
      <c r="IB2" t="e">
        <f>AND(předvyplněný!K25,"AAAAAG/e2es=")</f>
        <v>#VALUE!</v>
      </c>
      <c r="IC2" t="e">
        <f>AND(předvyplněný!L25,"AAAAAG/e2ew=")</f>
        <v>#VALUE!</v>
      </c>
      <c r="ID2" t="e">
        <f>AND(předvyplněný!M25,"AAAAAG/e2e0=")</f>
        <v>#VALUE!</v>
      </c>
      <c r="IE2" t="e">
        <f>AND(předvyplněný!N25,"AAAAAG/e2e4=")</f>
        <v>#VALUE!</v>
      </c>
      <c r="IF2" t="e">
        <f>AND(předvyplněný!O25,"AAAAAG/e2e8=")</f>
        <v>#VALUE!</v>
      </c>
      <c r="IG2" t="e">
        <f>AND(předvyplněný!P25,"AAAAAG/e2fA=")</f>
        <v>#VALUE!</v>
      </c>
      <c r="IH2" t="e">
        <f>AND(předvyplněný!Q25,"AAAAAG/e2fE=")</f>
        <v>#VALUE!</v>
      </c>
      <c r="II2" t="e">
        <f>AND(předvyplněný!R25,"AAAAAG/e2fI=")</f>
        <v>#VALUE!</v>
      </c>
      <c r="IJ2" t="e">
        <f>AND(předvyplněný!S25,"AAAAAG/e2fM=")</f>
        <v>#VALUE!</v>
      </c>
      <c r="IK2" s="60">
        <f>IF(předvyplněný!26:26,"AAAAAG/e2fQ=",0)</f>
        <v>0</v>
      </c>
      <c r="IL2" t="e">
        <f>AND(předvyplněný!A26,"AAAAAG/e2fU=")</f>
        <v>#VALUE!</v>
      </c>
      <c r="IM2" t="e">
        <f>AND(předvyplněný!B26,"AAAAAG/e2fY=")</f>
        <v>#VALUE!</v>
      </c>
      <c r="IN2" t="e">
        <f>AND(předvyplněný!C26,"AAAAAG/e2fc=")</f>
        <v>#VALUE!</v>
      </c>
      <c r="IO2" t="e">
        <f>AND(předvyplněný!D26,"AAAAAG/e2fg=")</f>
        <v>#VALUE!</v>
      </c>
      <c r="IP2" t="e">
        <f>AND(předvyplněný!E26,"AAAAAG/e2fk=")</f>
        <v>#VALUE!</v>
      </c>
      <c r="IQ2" t="e">
        <f>AND(předvyplněný!F26,"AAAAAG/e2fo=")</f>
        <v>#VALUE!</v>
      </c>
      <c r="IR2" t="e">
        <f>AND(předvyplněný!G26,"AAAAAG/e2fs=")</f>
        <v>#VALUE!</v>
      </c>
      <c r="IS2" t="e">
        <f>AND(předvyplněný!H26,"AAAAAG/e2fw=")</f>
        <v>#VALUE!</v>
      </c>
      <c r="IT2" t="e">
        <f>AND(předvyplněný!I26,"AAAAAG/e2f0=")</f>
        <v>#VALUE!</v>
      </c>
      <c r="IU2" t="e">
        <f>AND(předvyplněný!J26,"AAAAAG/e2f4=")</f>
        <v>#VALUE!</v>
      </c>
      <c r="IV2" t="e">
        <f>AND(předvyplněný!K26,"AAAAAG/e2f8=")</f>
        <v>#VALUE!</v>
      </c>
    </row>
    <row r="3" spans="1:256">
      <c r="A3" t="e">
        <f>AND(předvyplněný!L26,"AAAAAH20fwA=")</f>
        <v>#VALUE!</v>
      </c>
      <c r="B3" t="e">
        <f>AND(předvyplněný!M26,"AAAAAH20fwE=")</f>
        <v>#VALUE!</v>
      </c>
      <c r="C3" t="e">
        <f>AND(předvyplněný!N26,"AAAAAH20fwI=")</f>
        <v>#VALUE!</v>
      </c>
      <c r="D3" t="e">
        <f>AND(předvyplněný!O26,"AAAAAH20fwM=")</f>
        <v>#VALUE!</v>
      </c>
      <c r="E3" t="e">
        <f>AND(předvyplněný!P26,"AAAAAH20fwQ=")</f>
        <v>#VALUE!</v>
      </c>
      <c r="F3" t="e">
        <f>AND(předvyplněný!Q26,"AAAAAH20fwU=")</f>
        <v>#VALUE!</v>
      </c>
      <c r="G3" t="e">
        <f>AND(předvyplněný!R26,"AAAAAH20fwY=")</f>
        <v>#VALUE!</v>
      </c>
      <c r="H3" t="e">
        <f>AND(předvyplněný!S26,"AAAAAH20fwc=")</f>
        <v>#VALUE!</v>
      </c>
      <c r="I3" s="60">
        <f>IF(předvyplněný!27:27,"AAAAAH20fwg=",0)</f>
        <v>0</v>
      </c>
      <c r="J3" t="e">
        <f>AND(předvyplněný!A27,"AAAAAH20fwk=")</f>
        <v>#VALUE!</v>
      </c>
      <c r="K3" t="e">
        <f>AND(předvyplněný!B27,"AAAAAH20fwo=")</f>
        <v>#VALUE!</v>
      </c>
      <c r="L3" t="e">
        <f>AND(předvyplněný!C27,"AAAAAH20fws=")</f>
        <v>#VALUE!</v>
      </c>
      <c r="M3" t="e">
        <f>AND(předvyplněný!D27,"AAAAAH20fww=")</f>
        <v>#VALUE!</v>
      </c>
      <c r="N3" t="e">
        <f>AND(předvyplněný!E27,"AAAAAH20fw0=")</f>
        <v>#VALUE!</v>
      </c>
      <c r="O3" t="e">
        <f>AND(předvyplněný!F27,"AAAAAH20fw4=")</f>
        <v>#VALUE!</v>
      </c>
      <c r="P3" t="e">
        <f>AND(předvyplněný!G27,"AAAAAH20fw8=")</f>
        <v>#VALUE!</v>
      </c>
      <c r="Q3" t="e">
        <f>AND(předvyplněný!H27,"AAAAAH20fxA=")</f>
        <v>#VALUE!</v>
      </c>
      <c r="R3" t="e">
        <f>AND(předvyplněný!I27,"AAAAAH20fxE=")</f>
        <v>#VALUE!</v>
      </c>
      <c r="S3" t="e">
        <f>AND(předvyplněný!J27,"AAAAAH20fxI=")</f>
        <v>#VALUE!</v>
      </c>
      <c r="T3" t="e">
        <f>AND(předvyplněný!K27,"AAAAAH20fxM=")</f>
        <v>#VALUE!</v>
      </c>
      <c r="U3" t="e">
        <f>AND(předvyplněný!L27,"AAAAAH20fxQ=")</f>
        <v>#VALUE!</v>
      </c>
      <c r="V3" t="e">
        <f>AND(předvyplněný!M27,"AAAAAH20fxU=")</f>
        <v>#VALUE!</v>
      </c>
      <c r="W3" t="e">
        <f>AND(předvyplněný!N27,"AAAAAH20fxY=")</f>
        <v>#VALUE!</v>
      </c>
      <c r="X3" t="e">
        <f>AND(předvyplněný!O27,"AAAAAH20fxc=")</f>
        <v>#VALUE!</v>
      </c>
      <c r="Y3" t="e">
        <f>AND(předvyplněný!P27,"AAAAAH20fxg=")</f>
        <v>#VALUE!</v>
      </c>
      <c r="Z3" t="e">
        <f>AND(předvyplněný!Q27,"AAAAAH20fxk=")</f>
        <v>#VALUE!</v>
      </c>
      <c r="AA3" t="e">
        <f>AND(předvyplněný!R27,"AAAAAH20fxo=")</f>
        <v>#VALUE!</v>
      </c>
      <c r="AB3" t="e">
        <f>AND(předvyplněný!S27,"AAAAAH20fxs=")</f>
        <v>#VALUE!</v>
      </c>
      <c r="AC3" s="60">
        <f>IF(předvyplněný!28:28,"AAAAAH20fxw=",0)</f>
        <v>0</v>
      </c>
      <c r="AD3" t="e">
        <f>AND(předvyplněný!A28,"AAAAAH20fx0=")</f>
        <v>#VALUE!</v>
      </c>
      <c r="AE3" t="e">
        <f>AND(předvyplněný!B28,"AAAAAH20fx4=")</f>
        <v>#VALUE!</v>
      </c>
      <c r="AF3" t="e">
        <f>AND(předvyplněný!C28,"AAAAAH20fx8=")</f>
        <v>#VALUE!</v>
      </c>
      <c r="AG3" t="e">
        <f>AND(předvyplněný!D28,"AAAAAH20fyA=")</f>
        <v>#VALUE!</v>
      </c>
      <c r="AH3" t="e">
        <f>AND(předvyplněný!E28,"AAAAAH20fyE=")</f>
        <v>#VALUE!</v>
      </c>
      <c r="AI3" t="e">
        <f>AND(předvyplněný!F28,"AAAAAH20fyI=")</f>
        <v>#VALUE!</v>
      </c>
      <c r="AJ3" t="e">
        <f>AND(předvyplněný!G28,"AAAAAH20fyM=")</f>
        <v>#VALUE!</v>
      </c>
      <c r="AK3" t="e">
        <f>AND(předvyplněný!H28,"AAAAAH20fyQ=")</f>
        <v>#VALUE!</v>
      </c>
      <c r="AL3" t="e">
        <f>AND(předvyplněný!I28,"AAAAAH20fyU=")</f>
        <v>#VALUE!</v>
      </c>
      <c r="AM3" t="e">
        <f>AND(předvyplněný!J28,"AAAAAH20fyY=")</f>
        <v>#VALUE!</v>
      </c>
      <c r="AN3" t="e">
        <f>AND(předvyplněný!K28,"AAAAAH20fyc=")</f>
        <v>#VALUE!</v>
      </c>
      <c r="AO3" t="e">
        <f>AND(předvyplněný!L28,"AAAAAH20fyg=")</f>
        <v>#VALUE!</v>
      </c>
      <c r="AP3" t="e">
        <f>AND(předvyplněný!M28,"AAAAAH20fyk=")</f>
        <v>#VALUE!</v>
      </c>
      <c r="AQ3" t="e">
        <f>AND(předvyplněný!N28,"AAAAAH20fyo=")</f>
        <v>#VALUE!</v>
      </c>
      <c r="AR3" t="e">
        <f>AND(předvyplněný!O28,"AAAAAH20fys=")</f>
        <v>#VALUE!</v>
      </c>
      <c r="AS3" t="e">
        <f>AND(předvyplněný!P28,"AAAAAH20fyw=")</f>
        <v>#VALUE!</v>
      </c>
      <c r="AT3" t="e">
        <f>AND(předvyplněný!Q28,"AAAAAH20fy0=")</f>
        <v>#VALUE!</v>
      </c>
      <c r="AU3" t="e">
        <f>AND(předvyplněný!R28,"AAAAAH20fy4=")</f>
        <v>#VALUE!</v>
      </c>
      <c r="AV3" t="e">
        <f>AND(předvyplněný!S28,"AAAAAH20fy8=")</f>
        <v>#VALUE!</v>
      </c>
      <c r="AW3" s="60">
        <f>IF(předvyplněný!29:29,"AAAAAH20fzA=",0)</f>
        <v>0</v>
      </c>
      <c r="AX3" t="e">
        <f>AND(předvyplněný!A29,"AAAAAH20fzE=")</f>
        <v>#VALUE!</v>
      </c>
      <c r="AY3" t="e">
        <f>AND(předvyplněný!B29,"AAAAAH20fzI=")</f>
        <v>#VALUE!</v>
      </c>
      <c r="AZ3" t="e">
        <f>AND(předvyplněný!C29,"AAAAAH20fzM=")</f>
        <v>#VALUE!</v>
      </c>
      <c r="BA3" t="e">
        <f>AND(předvyplněný!D29,"AAAAAH20fzQ=")</f>
        <v>#VALUE!</v>
      </c>
      <c r="BB3" t="e">
        <f>AND(předvyplněný!E29,"AAAAAH20fzU=")</f>
        <v>#VALUE!</v>
      </c>
      <c r="BC3" t="e">
        <f>AND(předvyplněný!F29,"AAAAAH20fzY=")</f>
        <v>#VALUE!</v>
      </c>
      <c r="BD3" t="e">
        <f>AND(předvyplněný!G29,"AAAAAH20fzc=")</f>
        <v>#VALUE!</v>
      </c>
      <c r="BE3" t="e">
        <f>AND(předvyplněný!H29,"AAAAAH20fzg=")</f>
        <v>#VALUE!</v>
      </c>
      <c r="BF3" t="e">
        <f>AND(předvyplněný!I29,"AAAAAH20fzk=")</f>
        <v>#VALUE!</v>
      </c>
      <c r="BG3" t="e">
        <f>AND(předvyplněný!J29,"AAAAAH20fzo=")</f>
        <v>#VALUE!</v>
      </c>
      <c r="BH3" t="e">
        <f>AND(předvyplněný!K29,"AAAAAH20fzs=")</f>
        <v>#VALUE!</v>
      </c>
      <c r="BI3" t="e">
        <f>AND(předvyplněný!L29,"AAAAAH20fzw=")</f>
        <v>#VALUE!</v>
      </c>
      <c r="BJ3" t="e">
        <f>AND(předvyplněný!M29,"AAAAAH20fz0=")</f>
        <v>#VALUE!</v>
      </c>
      <c r="BK3" t="e">
        <f>AND(předvyplněný!N29,"AAAAAH20fz4=")</f>
        <v>#VALUE!</v>
      </c>
      <c r="BL3" t="e">
        <f>AND(předvyplněný!O29,"AAAAAH20fz8=")</f>
        <v>#VALUE!</v>
      </c>
      <c r="BM3" t="e">
        <f>AND(předvyplněný!P29,"AAAAAH20f0A=")</f>
        <v>#VALUE!</v>
      </c>
      <c r="BN3" t="e">
        <f>AND(předvyplněný!Q29,"AAAAAH20f0E=")</f>
        <v>#VALUE!</v>
      </c>
      <c r="BO3" t="e">
        <f>AND(předvyplněný!R29,"AAAAAH20f0I=")</f>
        <v>#VALUE!</v>
      </c>
      <c r="BP3" t="e">
        <f>AND(předvyplněný!S29,"AAAAAH20f0M=")</f>
        <v>#VALUE!</v>
      </c>
      <c r="BQ3" s="60">
        <f>IF(předvyplněný!30:30,"AAAAAH20f0Q=",0)</f>
        <v>0</v>
      </c>
      <c r="BR3" t="e">
        <f>AND(předvyplněný!A30,"AAAAAH20f0U=")</f>
        <v>#VALUE!</v>
      </c>
      <c r="BS3" t="e">
        <f>AND(předvyplněný!B30,"AAAAAH20f0Y=")</f>
        <v>#VALUE!</v>
      </c>
      <c r="BT3" t="e">
        <f>AND(předvyplněný!C30,"AAAAAH20f0c=")</f>
        <v>#VALUE!</v>
      </c>
      <c r="BU3" t="e">
        <f>AND(předvyplněný!D30,"AAAAAH20f0g=")</f>
        <v>#VALUE!</v>
      </c>
      <c r="BV3" t="e">
        <f>AND(předvyplněný!E30,"AAAAAH20f0k=")</f>
        <v>#VALUE!</v>
      </c>
      <c r="BW3" t="e">
        <f>AND(předvyplněný!F30,"AAAAAH20f0o=")</f>
        <v>#VALUE!</v>
      </c>
      <c r="BX3" t="e">
        <f>AND(předvyplněný!G30,"AAAAAH20f0s=")</f>
        <v>#VALUE!</v>
      </c>
      <c r="BY3" t="e">
        <f>AND(předvyplněný!H30,"AAAAAH20f0w=")</f>
        <v>#VALUE!</v>
      </c>
      <c r="BZ3" t="e">
        <f>AND(předvyplněný!I30,"AAAAAH20f00=")</f>
        <v>#VALUE!</v>
      </c>
      <c r="CA3" t="e">
        <f>AND(předvyplněný!J30,"AAAAAH20f04=")</f>
        <v>#VALUE!</v>
      </c>
      <c r="CB3" t="e">
        <f>AND(předvyplněný!K30,"AAAAAH20f08=")</f>
        <v>#VALUE!</v>
      </c>
      <c r="CC3" t="e">
        <f>AND(předvyplněný!L30,"AAAAAH20f1A=")</f>
        <v>#VALUE!</v>
      </c>
      <c r="CD3" t="e">
        <f>AND(předvyplněný!M30,"AAAAAH20f1E=")</f>
        <v>#VALUE!</v>
      </c>
      <c r="CE3" t="e">
        <f>AND(předvyplněný!N30,"AAAAAH20f1I=")</f>
        <v>#VALUE!</v>
      </c>
      <c r="CF3" t="e">
        <f>AND(předvyplněný!O30,"AAAAAH20f1M=")</f>
        <v>#VALUE!</v>
      </c>
      <c r="CG3" t="e">
        <f>AND(předvyplněný!P30,"AAAAAH20f1Q=")</f>
        <v>#VALUE!</v>
      </c>
      <c r="CH3" t="e">
        <f>AND(předvyplněný!Q30,"AAAAAH20f1U=")</f>
        <v>#VALUE!</v>
      </c>
      <c r="CI3" t="e">
        <f>AND(předvyplněný!R30,"AAAAAH20f1Y=")</f>
        <v>#VALUE!</v>
      </c>
      <c r="CJ3" t="e">
        <f>AND(předvyplněný!S30,"AAAAAH20f1c=")</f>
        <v>#VALUE!</v>
      </c>
      <c r="CK3" s="60">
        <f>IF(předvyplněný!31:31,"AAAAAH20f1g=",0)</f>
        <v>0</v>
      </c>
      <c r="CL3" t="e">
        <f>AND(předvyplněný!A31,"AAAAAH20f1k=")</f>
        <v>#VALUE!</v>
      </c>
      <c r="CM3" t="e">
        <f>AND(předvyplněný!B31,"AAAAAH20f1o=")</f>
        <v>#VALUE!</v>
      </c>
      <c r="CN3" t="e">
        <f>AND(předvyplněný!C31,"AAAAAH20f1s=")</f>
        <v>#VALUE!</v>
      </c>
      <c r="CO3" t="e">
        <f>AND(předvyplněný!D31,"AAAAAH20f1w=")</f>
        <v>#VALUE!</v>
      </c>
      <c r="CP3" t="e">
        <f>AND(předvyplněný!E31,"AAAAAH20f10=")</f>
        <v>#VALUE!</v>
      </c>
      <c r="CQ3" t="e">
        <f>AND(předvyplněný!F31,"AAAAAH20f14=")</f>
        <v>#VALUE!</v>
      </c>
      <c r="CR3" t="e">
        <f>AND(předvyplněný!G31,"AAAAAH20f18=")</f>
        <v>#VALUE!</v>
      </c>
      <c r="CS3" t="e">
        <f>AND(předvyplněný!H31,"AAAAAH20f2A=")</f>
        <v>#VALUE!</v>
      </c>
      <c r="CT3" t="e">
        <f>AND(předvyplněný!I31,"AAAAAH20f2E=")</f>
        <v>#VALUE!</v>
      </c>
      <c r="CU3" t="e">
        <f>AND(předvyplněný!J31,"AAAAAH20f2I=")</f>
        <v>#VALUE!</v>
      </c>
      <c r="CV3" t="e">
        <f>AND(předvyplněný!K31,"AAAAAH20f2M=")</f>
        <v>#VALUE!</v>
      </c>
      <c r="CW3" t="e">
        <f>AND(předvyplněný!L31,"AAAAAH20f2Q=")</f>
        <v>#VALUE!</v>
      </c>
      <c r="CX3" t="e">
        <f>AND(předvyplněný!M31,"AAAAAH20f2U=")</f>
        <v>#VALUE!</v>
      </c>
      <c r="CY3" t="e">
        <f>AND(předvyplněný!N31,"AAAAAH20f2Y=")</f>
        <v>#VALUE!</v>
      </c>
      <c r="CZ3" t="e">
        <f>AND(předvyplněný!O31,"AAAAAH20f2c=")</f>
        <v>#VALUE!</v>
      </c>
      <c r="DA3" t="e">
        <f>AND(předvyplněný!P31,"AAAAAH20f2g=")</f>
        <v>#VALUE!</v>
      </c>
      <c r="DB3" t="e">
        <f>AND(předvyplněný!Q31,"AAAAAH20f2k=")</f>
        <v>#VALUE!</v>
      </c>
      <c r="DC3" t="e">
        <f>AND(předvyplněný!R31,"AAAAAH20f2o=")</f>
        <v>#VALUE!</v>
      </c>
      <c r="DD3" t="e">
        <f>AND(předvyplněný!S31,"AAAAAH20f2s=")</f>
        <v>#VALUE!</v>
      </c>
      <c r="DE3" s="60">
        <f>IF(předvyplněný!32:32,"AAAAAH20f2w=",0)</f>
        <v>0</v>
      </c>
      <c r="DF3" t="e">
        <f>AND(předvyplněný!A32,"AAAAAH20f20=")</f>
        <v>#VALUE!</v>
      </c>
      <c r="DG3" t="e">
        <f>AND(předvyplněný!B32,"AAAAAH20f24=")</f>
        <v>#VALUE!</v>
      </c>
      <c r="DH3" t="e">
        <f>AND(předvyplněný!C32,"AAAAAH20f28=")</f>
        <v>#VALUE!</v>
      </c>
      <c r="DI3" t="e">
        <f>AND(předvyplněný!D32,"AAAAAH20f3A=")</f>
        <v>#VALUE!</v>
      </c>
      <c r="DJ3" t="e">
        <f>AND(předvyplněný!E32,"AAAAAH20f3E=")</f>
        <v>#VALUE!</v>
      </c>
      <c r="DK3" t="e">
        <f>AND(předvyplněný!F32,"AAAAAH20f3I=")</f>
        <v>#VALUE!</v>
      </c>
      <c r="DL3" t="e">
        <f>AND(předvyplněný!G32,"AAAAAH20f3M=")</f>
        <v>#VALUE!</v>
      </c>
      <c r="DM3" t="e">
        <f>AND(předvyplněný!H32,"AAAAAH20f3Q=")</f>
        <v>#VALUE!</v>
      </c>
      <c r="DN3" t="e">
        <f>AND(předvyplněný!I32,"AAAAAH20f3U=")</f>
        <v>#VALUE!</v>
      </c>
      <c r="DO3" t="e">
        <f>AND(předvyplněný!J32,"AAAAAH20f3Y=")</f>
        <v>#VALUE!</v>
      </c>
      <c r="DP3" t="e">
        <f>AND(předvyplněný!K32,"AAAAAH20f3c=")</f>
        <v>#VALUE!</v>
      </c>
      <c r="DQ3" t="e">
        <f>AND(předvyplněný!L32,"AAAAAH20f3g=")</f>
        <v>#VALUE!</v>
      </c>
      <c r="DR3" t="e">
        <f>AND(předvyplněný!M32,"AAAAAH20f3k=")</f>
        <v>#VALUE!</v>
      </c>
      <c r="DS3" t="e">
        <f>AND(předvyplněný!N32,"AAAAAH20f3o=")</f>
        <v>#VALUE!</v>
      </c>
      <c r="DT3" t="e">
        <f>AND(předvyplněný!O32,"AAAAAH20f3s=")</f>
        <v>#VALUE!</v>
      </c>
      <c r="DU3" t="e">
        <f>AND(předvyplněný!P32,"AAAAAH20f3w=")</f>
        <v>#VALUE!</v>
      </c>
      <c r="DV3" t="e">
        <f>AND(předvyplněný!Q32,"AAAAAH20f30=")</f>
        <v>#VALUE!</v>
      </c>
      <c r="DW3" t="e">
        <f>AND(předvyplněný!R32,"AAAAAH20f34=")</f>
        <v>#VALUE!</v>
      </c>
      <c r="DX3" t="e">
        <f>AND(předvyplněný!S32,"AAAAAH20f38=")</f>
        <v>#VALUE!</v>
      </c>
      <c r="DY3" s="60">
        <f>IF(předvyplněný!33:33,"AAAAAH20f4A=",0)</f>
        <v>0</v>
      </c>
      <c r="DZ3" t="e">
        <f>AND(předvyplněný!A33,"AAAAAH20f4E=")</f>
        <v>#VALUE!</v>
      </c>
      <c r="EA3" t="e">
        <f>AND(předvyplněný!B33,"AAAAAH20f4I=")</f>
        <v>#VALUE!</v>
      </c>
      <c r="EB3" t="e">
        <f>AND(předvyplněný!C33,"AAAAAH20f4M=")</f>
        <v>#VALUE!</v>
      </c>
      <c r="EC3" t="e">
        <f>AND(předvyplněný!D33,"AAAAAH20f4Q=")</f>
        <v>#VALUE!</v>
      </c>
      <c r="ED3" t="e">
        <f>AND(předvyplněný!E33,"AAAAAH20f4U=")</f>
        <v>#VALUE!</v>
      </c>
      <c r="EE3" t="e">
        <f>AND(předvyplněný!F33,"AAAAAH20f4Y=")</f>
        <v>#VALUE!</v>
      </c>
      <c r="EF3" t="e">
        <f>AND(předvyplněný!G33,"AAAAAH20f4c=")</f>
        <v>#VALUE!</v>
      </c>
      <c r="EG3" t="e">
        <f>AND(předvyplněný!H33,"AAAAAH20f4g=")</f>
        <v>#VALUE!</v>
      </c>
      <c r="EH3" t="e">
        <f>AND(předvyplněný!I33,"AAAAAH20f4k=")</f>
        <v>#VALUE!</v>
      </c>
      <c r="EI3" t="e">
        <f>AND(předvyplněný!J33,"AAAAAH20f4o=")</f>
        <v>#VALUE!</v>
      </c>
      <c r="EJ3" t="e">
        <f>AND(předvyplněný!K33,"AAAAAH20f4s=")</f>
        <v>#VALUE!</v>
      </c>
      <c r="EK3" t="e">
        <f>AND(předvyplněný!L33,"AAAAAH20f4w=")</f>
        <v>#VALUE!</v>
      </c>
      <c r="EL3" t="e">
        <f>AND(předvyplněný!M33,"AAAAAH20f40=")</f>
        <v>#VALUE!</v>
      </c>
      <c r="EM3" t="e">
        <f>AND(předvyplněný!N33,"AAAAAH20f44=")</f>
        <v>#VALUE!</v>
      </c>
      <c r="EN3" t="e">
        <f>AND(předvyplněný!O33,"AAAAAH20f48=")</f>
        <v>#VALUE!</v>
      </c>
      <c r="EO3" t="e">
        <f>AND(předvyplněný!P33,"AAAAAH20f5A=")</f>
        <v>#VALUE!</v>
      </c>
      <c r="EP3" t="e">
        <f>AND(předvyplněný!Q33,"AAAAAH20f5E=")</f>
        <v>#VALUE!</v>
      </c>
      <c r="EQ3" t="e">
        <f>AND(předvyplněný!R33,"AAAAAH20f5I=")</f>
        <v>#VALUE!</v>
      </c>
      <c r="ER3" t="e">
        <f>AND(předvyplněný!S33,"AAAAAH20f5M=")</f>
        <v>#VALUE!</v>
      </c>
      <c r="ES3" s="60">
        <f>IF(předvyplněný!34:34,"AAAAAH20f5Q=",0)</f>
        <v>0</v>
      </c>
      <c r="ET3" t="e">
        <f>AND(předvyplněný!A34,"AAAAAH20f5U=")</f>
        <v>#VALUE!</v>
      </c>
      <c r="EU3" t="e">
        <f>AND(předvyplněný!B34,"AAAAAH20f5Y=")</f>
        <v>#VALUE!</v>
      </c>
      <c r="EV3" t="e">
        <f>AND(předvyplněný!C34,"AAAAAH20f5c=")</f>
        <v>#VALUE!</v>
      </c>
      <c r="EW3" t="e">
        <f>AND(předvyplněný!D34,"AAAAAH20f5g=")</f>
        <v>#VALUE!</v>
      </c>
      <c r="EX3" t="e">
        <f>AND(předvyplněný!E34,"AAAAAH20f5k=")</f>
        <v>#VALUE!</v>
      </c>
      <c r="EY3" t="e">
        <f>AND(předvyplněný!F34,"AAAAAH20f5o=")</f>
        <v>#VALUE!</v>
      </c>
      <c r="EZ3" t="e">
        <f>AND(předvyplněný!G34,"AAAAAH20f5s=")</f>
        <v>#VALUE!</v>
      </c>
      <c r="FA3" t="e">
        <f>AND(předvyplněný!H34,"AAAAAH20f5w=")</f>
        <v>#VALUE!</v>
      </c>
      <c r="FB3" t="e">
        <f>AND(předvyplněný!I34,"AAAAAH20f50=")</f>
        <v>#VALUE!</v>
      </c>
      <c r="FC3" t="e">
        <f>AND(předvyplněný!J34,"AAAAAH20f54=")</f>
        <v>#VALUE!</v>
      </c>
      <c r="FD3" t="e">
        <f>AND(předvyplněný!K34,"AAAAAH20f58=")</f>
        <v>#VALUE!</v>
      </c>
      <c r="FE3" t="e">
        <f>AND(předvyplněný!L34,"AAAAAH20f6A=")</f>
        <v>#VALUE!</v>
      </c>
      <c r="FF3" t="e">
        <f>AND(předvyplněný!M34,"AAAAAH20f6E=")</f>
        <v>#VALUE!</v>
      </c>
      <c r="FG3" t="e">
        <f>AND(předvyplněný!N34,"AAAAAH20f6I=")</f>
        <v>#VALUE!</v>
      </c>
      <c r="FH3" t="e">
        <f>AND(předvyplněný!O34,"AAAAAH20f6M=")</f>
        <v>#VALUE!</v>
      </c>
      <c r="FI3" t="e">
        <f>AND(předvyplněný!P34,"AAAAAH20f6Q=")</f>
        <v>#VALUE!</v>
      </c>
      <c r="FJ3" t="e">
        <f>AND(předvyplněný!Q34,"AAAAAH20f6U=")</f>
        <v>#VALUE!</v>
      </c>
      <c r="FK3" t="e">
        <f>AND(předvyplněný!R34,"AAAAAH20f6Y=")</f>
        <v>#VALUE!</v>
      </c>
      <c r="FL3" t="e">
        <f>AND(předvyplněný!S34,"AAAAAH20f6c=")</f>
        <v>#VALUE!</v>
      </c>
      <c r="FM3" s="60">
        <f>IF(předvyplněný!35:35,"AAAAAH20f6g=",0)</f>
        <v>0</v>
      </c>
      <c r="FN3" t="e">
        <f>AND(předvyplněný!A35,"AAAAAH20f6k=")</f>
        <v>#VALUE!</v>
      </c>
      <c r="FO3" t="e">
        <f>AND(předvyplněný!B35,"AAAAAH20f6o=")</f>
        <v>#VALUE!</v>
      </c>
      <c r="FP3" t="e">
        <f>AND(předvyplněný!C35,"AAAAAH20f6s=")</f>
        <v>#VALUE!</v>
      </c>
      <c r="FQ3" t="e">
        <f>AND(předvyplněný!D35,"AAAAAH20f6w=")</f>
        <v>#VALUE!</v>
      </c>
      <c r="FR3" t="e">
        <f>AND(předvyplněný!E35,"AAAAAH20f60=")</f>
        <v>#VALUE!</v>
      </c>
      <c r="FS3" t="e">
        <f>AND(předvyplněný!F35,"AAAAAH20f64=")</f>
        <v>#VALUE!</v>
      </c>
      <c r="FT3" t="e">
        <f>AND(předvyplněný!G35,"AAAAAH20f68=")</f>
        <v>#VALUE!</v>
      </c>
      <c r="FU3" t="e">
        <f>AND(předvyplněný!H35,"AAAAAH20f7A=")</f>
        <v>#VALUE!</v>
      </c>
      <c r="FV3" t="e">
        <f>AND(předvyplněný!I35,"AAAAAH20f7E=")</f>
        <v>#VALUE!</v>
      </c>
      <c r="FW3" t="e">
        <f>AND(předvyplněný!J35,"AAAAAH20f7I=")</f>
        <v>#VALUE!</v>
      </c>
      <c r="FX3" t="e">
        <f>AND(předvyplněný!K35,"AAAAAH20f7M=")</f>
        <v>#VALUE!</v>
      </c>
      <c r="FY3" t="e">
        <f>AND(předvyplněný!L35,"AAAAAH20f7Q=")</f>
        <v>#VALUE!</v>
      </c>
      <c r="FZ3" t="e">
        <f>AND(předvyplněný!M35,"AAAAAH20f7U=")</f>
        <v>#VALUE!</v>
      </c>
      <c r="GA3" t="e">
        <f>AND(předvyplněný!N35,"AAAAAH20f7Y=")</f>
        <v>#VALUE!</v>
      </c>
      <c r="GB3" t="e">
        <f>AND(předvyplněný!O35,"AAAAAH20f7c=")</f>
        <v>#VALUE!</v>
      </c>
      <c r="GC3" t="e">
        <f>AND(předvyplněný!P35,"AAAAAH20f7g=")</f>
        <v>#VALUE!</v>
      </c>
      <c r="GD3" t="e">
        <f>AND(předvyplněný!Q35,"AAAAAH20f7k=")</f>
        <v>#VALUE!</v>
      </c>
      <c r="GE3" t="e">
        <f>AND(předvyplněný!R35,"AAAAAH20f7o=")</f>
        <v>#VALUE!</v>
      </c>
      <c r="GF3" t="e">
        <f>AND(předvyplněný!S35,"AAAAAH20f7s=")</f>
        <v>#VALUE!</v>
      </c>
      <c r="GG3" s="60">
        <f>IF(předvyplněný!36:36,"AAAAAH20f7w=",0)</f>
        <v>0</v>
      </c>
      <c r="GH3" t="e">
        <f>AND(předvyplněný!A36,"AAAAAH20f70=")</f>
        <v>#VALUE!</v>
      </c>
      <c r="GI3" t="e">
        <f>AND(předvyplněný!B36,"AAAAAH20f74=")</f>
        <v>#VALUE!</v>
      </c>
      <c r="GJ3" t="e">
        <f>AND(předvyplněný!C36,"AAAAAH20f78=")</f>
        <v>#VALUE!</v>
      </c>
      <c r="GK3" t="e">
        <f>AND(předvyplněný!D36,"AAAAAH20f8A=")</f>
        <v>#VALUE!</v>
      </c>
      <c r="GL3" t="e">
        <f>AND(předvyplněný!E36,"AAAAAH20f8E=")</f>
        <v>#VALUE!</v>
      </c>
      <c r="GM3" t="e">
        <f>AND(předvyplněný!F36,"AAAAAH20f8I=")</f>
        <v>#VALUE!</v>
      </c>
      <c r="GN3" t="e">
        <f>AND(předvyplněný!G36,"AAAAAH20f8M=")</f>
        <v>#VALUE!</v>
      </c>
      <c r="GO3" t="e">
        <f>AND(předvyplněný!H36,"AAAAAH20f8Q=")</f>
        <v>#VALUE!</v>
      </c>
      <c r="GP3" t="e">
        <f>AND(předvyplněný!I36,"AAAAAH20f8U=")</f>
        <v>#VALUE!</v>
      </c>
      <c r="GQ3" t="e">
        <f>AND(předvyplněný!J36,"AAAAAH20f8Y=")</f>
        <v>#VALUE!</v>
      </c>
      <c r="GR3" t="e">
        <f>AND(předvyplněný!K36,"AAAAAH20f8c=")</f>
        <v>#VALUE!</v>
      </c>
      <c r="GS3" t="e">
        <f>AND(předvyplněný!L36,"AAAAAH20f8g=")</f>
        <v>#VALUE!</v>
      </c>
      <c r="GT3" t="e">
        <f>AND(předvyplněný!M36,"AAAAAH20f8k=")</f>
        <v>#VALUE!</v>
      </c>
      <c r="GU3" t="e">
        <f>AND(předvyplněný!N36,"AAAAAH20f8o=")</f>
        <v>#VALUE!</v>
      </c>
      <c r="GV3" t="e">
        <f>AND(předvyplněný!O36,"AAAAAH20f8s=")</f>
        <v>#VALUE!</v>
      </c>
      <c r="GW3" t="e">
        <f>AND(předvyplněný!P36,"AAAAAH20f8w=")</f>
        <v>#VALUE!</v>
      </c>
      <c r="GX3" t="e">
        <f>AND(předvyplněný!Q36,"AAAAAH20f80=")</f>
        <v>#VALUE!</v>
      </c>
      <c r="GY3" t="e">
        <f>AND(předvyplněný!R36,"AAAAAH20f84=")</f>
        <v>#VALUE!</v>
      </c>
      <c r="GZ3" t="e">
        <f>AND(předvyplněný!S36,"AAAAAH20f88=")</f>
        <v>#VALUE!</v>
      </c>
      <c r="HA3" s="60">
        <f>IF(předvyplněný!37:37,"AAAAAH20f9A=",0)</f>
        <v>0</v>
      </c>
      <c r="HB3" t="e">
        <f>AND(předvyplněný!A37,"AAAAAH20f9E=")</f>
        <v>#VALUE!</v>
      </c>
      <c r="HC3" t="e">
        <f>AND(předvyplněný!B37,"AAAAAH20f9I=")</f>
        <v>#VALUE!</v>
      </c>
      <c r="HD3" t="e">
        <f>AND(předvyplněný!C37,"AAAAAH20f9M=")</f>
        <v>#VALUE!</v>
      </c>
      <c r="HE3" t="e">
        <f>AND(předvyplněný!D37,"AAAAAH20f9Q=")</f>
        <v>#VALUE!</v>
      </c>
      <c r="HF3" t="e">
        <f>AND(předvyplněný!E37,"AAAAAH20f9U=")</f>
        <v>#VALUE!</v>
      </c>
      <c r="HG3" t="e">
        <f>AND(předvyplněný!F37,"AAAAAH20f9Y=")</f>
        <v>#VALUE!</v>
      </c>
      <c r="HH3" t="e">
        <f>AND(předvyplněný!G37,"AAAAAH20f9c=")</f>
        <v>#VALUE!</v>
      </c>
      <c r="HI3" t="e">
        <f>AND(předvyplněný!H37,"AAAAAH20f9g=")</f>
        <v>#VALUE!</v>
      </c>
      <c r="HJ3" t="e">
        <f>AND(předvyplněný!I37,"AAAAAH20f9k=")</f>
        <v>#VALUE!</v>
      </c>
      <c r="HK3" t="e">
        <f>AND(předvyplněný!J37,"AAAAAH20f9o=")</f>
        <v>#VALUE!</v>
      </c>
      <c r="HL3" t="e">
        <f>AND(předvyplněný!K37,"AAAAAH20f9s=")</f>
        <v>#VALUE!</v>
      </c>
      <c r="HM3" t="e">
        <f>AND(předvyplněný!L37,"AAAAAH20f9w=")</f>
        <v>#VALUE!</v>
      </c>
      <c r="HN3" t="e">
        <f>AND(předvyplněný!M37,"AAAAAH20f90=")</f>
        <v>#VALUE!</v>
      </c>
      <c r="HO3" t="e">
        <f>AND(předvyplněný!N37,"AAAAAH20f94=")</f>
        <v>#VALUE!</v>
      </c>
      <c r="HP3" t="e">
        <f>AND(předvyplněný!O37,"AAAAAH20f98=")</f>
        <v>#VALUE!</v>
      </c>
      <c r="HQ3" t="e">
        <f>AND(předvyplněný!P37,"AAAAAH20f+A=")</f>
        <v>#VALUE!</v>
      </c>
      <c r="HR3" t="e">
        <f>AND(předvyplněný!Q37,"AAAAAH20f+E=")</f>
        <v>#VALUE!</v>
      </c>
      <c r="HS3" t="e">
        <f>AND(předvyplněný!R37,"AAAAAH20f+I=")</f>
        <v>#VALUE!</v>
      </c>
      <c r="HT3" t="e">
        <f>AND(předvyplněný!S37,"AAAAAH20f+M=")</f>
        <v>#VALUE!</v>
      </c>
      <c r="HU3" s="60">
        <f>IF(předvyplněný!38:38,"AAAAAH20f+Q=",0)</f>
        <v>0</v>
      </c>
      <c r="HV3" t="e">
        <f>AND(předvyplněný!A38,"AAAAAH20f+U=")</f>
        <v>#VALUE!</v>
      </c>
      <c r="HW3" t="e">
        <f>AND(předvyplněný!B38,"AAAAAH20f+Y=")</f>
        <v>#VALUE!</v>
      </c>
      <c r="HX3" t="e">
        <f>AND(předvyplněný!C38,"AAAAAH20f+c=")</f>
        <v>#VALUE!</v>
      </c>
      <c r="HY3" t="e">
        <f>AND(předvyplněný!D38,"AAAAAH20f+g=")</f>
        <v>#VALUE!</v>
      </c>
      <c r="HZ3" t="e">
        <f>AND(předvyplněný!E38,"AAAAAH20f+k=")</f>
        <v>#VALUE!</v>
      </c>
      <c r="IA3" t="e">
        <f>AND(předvyplněný!F38,"AAAAAH20f+o=")</f>
        <v>#VALUE!</v>
      </c>
      <c r="IB3" t="e">
        <f>AND(předvyplněný!G38,"AAAAAH20f+s=")</f>
        <v>#VALUE!</v>
      </c>
      <c r="IC3" t="e">
        <f>AND(předvyplněný!H38,"AAAAAH20f+w=")</f>
        <v>#VALUE!</v>
      </c>
      <c r="ID3" t="e">
        <f>AND(předvyplněný!I38,"AAAAAH20f+0=")</f>
        <v>#VALUE!</v>
      </c>
      <c r="IE3" t="e">
        <f>AND(předvyplněný!J38,"AAAAAH20f+4=")</f>
        <v>#VALUE!</v>
      </c>
      <c r="IF3" t="e">
        <f>AND(předvyplněný!K38,"AAAAAH20f+8=")</f>
        <v>#VALUE!</v>
      </c>
      <c r="IG3" t="e">
        <f>AND(předvyplněný!L38,"AAAAAH20f/A=")</f>
        <v>#VALUE!</v>
      </c>
      <c r="IH3" t="e">
        <f>AND(předvyplněný!M38,"AAAAAH20f/E=")</f>
        <v>#VALUE!</v>
      </c>
      <c r="II3" t="e">
        <f>AND(předvyplněný!N38,"AAAAAH20f/I=")</f>
        <v>#VALUE!</v>
      </c>
      <c r="IJ3" t="e">
        <f>AND(předvyplněný!O38,"AAAAAH20f/M=")</f>
        <v>#VALUE!</v>
      </c>
      <c r="IK3" t="e">
        <f>AND(předvyplněný!P38,"AAAAAH20f/Q=")</f>
        <v>#VALUE!</v>
      </c>
      <c r="IL3" t="e">
        <f>AND(předvyplněný!Q38,"AAAAAH20f/U=")</f>
        <v>#VALUE!</v>
      </c>
      <c r="IM3" t="e">
        <f>AND(předvyplněný!R38,"AAAAAH20f/Y=")</f>
        <v>#VALUE!</v>
      </c>
      <c r="IN3" t="e">
        <f>AND(předvyplněný!S38,"AAAAAH20f/c=")</f>
        <v>#VALUE!</v>
      </c>
      <c r="IO3" s="60">
        <f>IF(předvyplněný!39:39,"AAAAAH20f/g=",0)</f>
        <v>0</v>
      </c>
      <c r="IP3" t="e">
        <f>AND(předvyplněný!A39,"AAAAAH20f/k=")</f>
        <v>#VALUE!</v>
      </c>
      <c r="IQ3" t="e">
        <f>AND(předvyplněný!B39,"AAAAAH20f/o=")</f>
        <v>#VALUE!</v>
      </c>
      <c r="IR3" t="e">
        <f>AND(předvyplněný!C39,"AAAAAH20f/s=")</f>
        <v>#VALUE!</v>
      </c>
      <c r="IS3" t="e">
        <f>AND(předvyplněný!D39,"AAAAAH20f/w=")</f>
        <v>#VALUE!</v>
      </c>
      <c r="IT3" t="e">
        <f>AND(předvyplněný!E39,"AAAAAH20f/0=")</f>
        <v>#VALUE!</v>
      </c>
      <c r="IU3" t="e">
        <f>AND(předvyplněný!F39,"AAAAAH20f/4=")</f>
        <v>#VALUE!</v>
      </c>
      <c r="IV3" t="e">
        <f>AND(předvyplněný!G39,"AAAAAH20f/8=")</f>
        <v>#VALUE!</v>
      </c>
    </row>
    <row r="4" spans="1:256">
      <c r="A4" t="e">
        <f>AND(předvyplněný!H39,"AAAAAHbbtwA=")</f>
        <v>#VALUE!</v>
      </c>
      <c r="B4" t="e">
        <f>AND(předvyplněný!I39,"AAAAAHbbtwE=")</f>
        <v>#VALUE!</v>
      </c>
      <c r="C4" t="e">
        <f>AND(předvyplněný!J39,"AAAAAHbbtwI=")</f>
        <v>#VALUE!</v>
      </c>
      <c r="D4" t="e">
        <f>AND(předvyplněný!K39,"AAAAAHbbtwM=")</f>
        <v>#VALUE!</v>
      </c>
      <c r="E4" t="e">
        <f>AND(předvyplněný!L39,"AAAAAHbbtwQ=")</f>
        <v>#VALUE!</v>
      </c>
      <c r="F4" t="e">
        <f>AND(předvyplněný!M39,"AAAAAHbbtwU=")</f>
        <v>#VALUE!</v>
      </c>
      <c r="G4" t="e">
        <f>AND(předvyplněný!N39,"AAAAAHbbtwY=")</f>
        <v>#VALUE!</v>
      </c>
      <c r="H4" t="e">
        <f>AND(předvyplněný!O39,"AAAAAHbbtwc=")</f>
        <v>#VALUE!</v>
      </c>
      <c r="I4" t="e">
        <f>AND(předvyplněný!P39,"AAAAAHbbtwg=")</f>
        <v>#VALUE!</v>
      </c>
      <c r="J4" t="e">
        <f>AND(předvyplněný!Q39,"AAAAAHbbtwk=")</f>
        <v>#VALUE!</v>
      </c>
      <c r="K4" t="e">
        <f>AND(předvyplněný!R39,"AAAAAHbbtwo=")</f>
        <v>#VALUE!</v>
      </c>
      <c r="L4" t="e">
        <f>AND(předvyplněný!S39,"AAAAAHbbtws=")</f>
        <v>#VALUE!</v>
      </c>
      <c r="M4" s="60">
        <f>IF(předvyplněný!40:40,"AAAAAHbbtww=",0)</f>
        <v>0</v>
      </c>
      <c r="N4" t="e">
        <f>AND(předvyplněný!A40,"AAAAAHbbtw0=")</f>
        <v>#VALUE!</v>
      </c>
      <c r="O4" t="e">
        <f>AND(předvyplněný!B40,"AAAAAHbbtw4=")</f>
        <v>#VALUE!</v>
      </c>
      <c r="P4" t="e">
        <f>AND(předvyplněný!C40,"AAAAAHbbtw8=")</f>
        <v>#VALUE!</v>
      </c>
      <c r="Q4" t="e">
        <f>AND(předvyplněný!D40,"AAAAAHbbtxA=")</f>
        <v>#VALUE!</v>
      </c>
      <c r="R4" t="e">
        <f>AND(předvyplněný!E40,"AAAAAHbbtxE=")</f>
        <v>#VALUE!</v>
      </c>
      <c r="S4" t="e">
        <f>AND(předvyplněný!F40,"AAAAAHbbtxI=")</f>
        <v>#VALUE!</v>
      </c>
      <c r="T4" t="e">
        <f>AND(předvyplněný!G40,"AAAAAHbbtxM=")</f>
        <v>#VALUE!</v>
      </c>
      <c r="U4" t="e">
        <f>AND(předvyplněný!H40,"AAAAAHbbtxQ=")</f>
        <v>#VALUE!</v>
      </c>
      <c r="V4" t="e">
        <f>AND(předvyplněný!I40,"AAAAAHbbtxU=")</f>
        <v>#VALUE!</v>
      </c>
      <c r="W4" t="e">
        <f>AND(předvyplněný!J40,"AAAAAHbbtxY=")</f>
        <v>#VALUE!</v>
      </c>
      <c r="X4" t="e">
        <f>AND(předvyplněný!K40,"AAAAAHbbtxc=")</f>
        <v>#VALUE!</v>
      </c>
      <c r="Y4" t="e">
        <f>AND(předvyplněný!L40,"AAAAAHbbtxg=")</f>
        <v>#VALUE!</v>
      </c>
      <c r="Z4" t="e">
        <f>AND(předvyplněný!M40,"AAAAAHbbtxk=")</f>
        <v>#VALUE!</v>
      </c>
      <c r="AA4" t="e">
        <f>AND(předvyplněný!N40,"AAAAAHbbtxo=")</f>
        <v>#VALUE!</v>
      </c>
      <c r="AB4" t="e">
        <f>AND(předvyplněný!O40,"AAAAAHbbtxs=")</f>
        <v>#VALUE!</v>
      </c>
      <c r="AC4" t="e">
        <f>AND(předvyplněný!P40,"AAAAAHbbtxw=")</f>
        <v>#VALUE!</v>
      </c>
      <c r="AD4" t="e">
        <f>AND(předvyplněný!Q40,"AAAAAHbbtx0=")</f>
        <v>#VALUE!</v>
      </c>
      <c r="AE4" t="e">
        <f>AND(předvyplněný!R40,"AAAAAHbbtx4=")</f>
        <v>#VALUE!</v>
      </c>
      <c r="AF4" t="e">
        <f>AND(předvyplněný!S40,"AAAAAHbbtx8=")</f>
        <v>#VALUE!</v>
      </c>
      <c r="AG4" s="60">
        <f>IF(předvyplněný!41:41,"AAAAAHbbtyA=",0)</f>
        <v>0</v>
      </c>
      <c r="AH4" t="e">
        <f>AND(předvyplněný!A41,"AAAAAHbbtyE=")</f>
        <v>#VALUE!</v>
      </c>
      <c r="AI4" t="e">
        <f>AND(předvyplněný!B41,"AAAAAHbbtyI=")</f>
        <v>#VALUE!</v>
      </c>
      <c r="AJ4" t="e">
        <f>AND(předvyplněný!C41,"AAAAAHbbtyM=")</f>
        <v>#VALUE!</v>
      </c>
      <c r="AK4" t="e">
        <f>AND(předvyplněný!D41,"AAAAAHbbtyQ=")</f>
        <v>#VALUE!</v>
      </c>
      <c r="AL4" t="e">
        <f>AND(předvyplněný!E41,"AAAAAHbbtyU=")</f>
        <v>#VALUE!</v>
      </c>
      <c r="AM4" t="e">
        <f>AND(předvyplněný!F41,"AAAAAHbbtyY=")</f>
        <v>#VALUE!</v>
      </c>
      <c r="AN4" t="e">
        <f>AND(předvyplněný!G41,"AAAAAHbbtyc=")</f>
        <v>#VALUE!</v>
      </c>
      <c r="AO4" t="e">
        <f>AND(předvyplněný!H41,"AAAAAHbbtyg=")</f>
        <v>#VALUE!</v>
      </c>
      <c r="AP4" t="e">
        <f>AND(předvyplněný!I41,"AAAAAHbbtyk=")</f>
        <v>#VALUE!</v>
      </c>
      <c r="AQ4" t="e">
        <f>AND(předvyplněný!J41,"AAAAAHbbtyo=")</f>
        <v>#VALUE!</v>
      </c>
      <c r="AR4" t="e">
        <f>AND(předvyplněný!K41,"AAAAAHbbtys=")</f>
        <v>#VALUE!</v>
      </c>
      <c r="AS4" t="e">
        <f>AND(předvyplněný!L41,"AAAAAHbbtyw=")</f>
        <v>#VALUE!</v>
      </c>
      <c r="AT4" t="e">
        <f>AND(předvyplněný!M41,"AAAAAHbbty0=")</f>
        <v>#VALUE!</v>
      </c>
      <c r="AU4" t="e">
        <f>AND(předvyplněný!N41,"AAAAAHbbty4=")</f>
        <v>#VALUE!</v>
      </c>
      <c r="AV4" t="e">
        <f>AND(předvyplněný!O41,"AAAAAHbbty8=")</f>
        <v>#VALUE!</v>
      </c>
      <c r="AW4" t="e">
        <f>AND(předvyplněný!P41,"AAAAAHbbtzA=")</f>
        <v>#VALUE!</v>
      </c>
      <c r="AX4" t="e">
        <f>AND(předvyplněný!Q41,"AAAAAHbbtzE=")</f>
        <v>#VALUE!</v>
      </c>
      <c r="AY4" t="e">
        <f>AND(předvyplněný!R41,"AAAAAHbbtzI=")</f>
        <v>#VALUE!</v>
      </c>
      <c r="AZ4" t="e">
        <f>AND(předvyplněný!S41,"AAAAAHbbtzM=")</f>
        <v>#VALUE!</v>
      </c>
      <c r="BA4" s="60">
        <f>IF(předvyplněný!42:42,"AAAAAHbbtzQ=",0)</f>
        <v>0</v>
      </c>
      <c r="BB4" t="e">
        <f>AND(předvyplněný!A42,"AAAAAHbbtzU=")</f>
        <v>#VALUE!</v>
      </c>
      <c r="BC4" t="e">
        <f>AND(předvyplněný!B42,"AAAAAHbbtzY=")</f>
        <v>#VALUE!</v>
      </c>
      <c r="BD4" t="e">
        <f>AND(předvyplněný!C42,"AAAAAHbbtzc=")</f>
        <v>#VALUE!</v>
      </c>
      <c r="BE4" t="e">
        <f>AND(předvyplněný!D42,"AAAAAHbbtzg=")</f>
        <v>#VALUE!</v>
      </c>
      <c r="BF4" t="e">
        <f>AND(předvyplněný!E42,"AAAAAHbbtzk=")</f>
        <v>#VALUE!</v>
      </c>
      <c r="BG4" t="e">
        <f>AND(předvyplněný!F42,"AAAAAHbbtzo=")</f>
        <v>#VALUE!</v>
      </c>
      <c r="BH4" t="e">
        <f>AND(předvyplněný!G42,"AAAAAHbbtzs=")</f>
        <v>#VALUE!</v>
      </c>
      <c r="BI4" t="e">
        <f>AND(předvyplněný!H42,"AAAAAHbbtzw=")</f>
        <v>#VALUE!</v>
      </c>
      <c r="BJ4" t="e">
        <f>AND(předvyplněný!I42,"AAAAAHbbtz0=")</f>
        <v>#VALUE!</v>
      </c>
      <c r="BK4" t="e">
        <f>AND(předvyplněný!J42,"AAAAAHbbtz4=")</f>
        <v>#VALUE!</v>
      </c>
      <c r="BL4" t="e">
        <f>AND(předvyplněný!K42,"AAAAAHbbtz8=")</f>
        <v>#VALUE!</v>
      </c>
      <c r="BM4" t="e">
        <f>AND(předvyplněný!L42,"AAAAAHbbt0A=")</f>
        <v>#VALUE!</v>
      </c>
      <c r="BN4" t="e">
        <f>AND(předvyplněný!M42,"AAAAAHbbt0E=")</f>
        <v>#VALUE!</v>
      </c>
      <c r="BO4" t="e">
        <f>AND(předvyplněný!N42,"AAAAAHbbt0I=")</f>
        <v>#VALUE!</v>
      </c>
      <c r="BP4" t="e">
        <f>AND(předvyplněný!O42,"AAAAAHbbt0M=")</f>
        <v>#VALUE!</v>
      </c>
      <c r="BQ4" t="e">
        <f>AND(předvyplněný!P42,"AAAAAHbbt0Q=")</f>
        <v>#VALUE!</v>
      </c>
      <c r="BR4" t="e">
        <f>AND(předvyplněný!Q42,"AAAAAHbbt0U=")</f>
        <v>#VALUE!</v>
      </c>
      <c r="BS4" t="e">
        <f>AND(předvyplněný!R42,"AAAAAHbbt0Y=")</f>
        <v>#VALUE!</v>
      </c>
      <c r="BT4" t="e">
        <f>AND(předvyplněný!S42,"AAAAAHbbt0c=")</f>
        <v>#VALUE!</v>
      </c>
      <c r="BU4" s="60">
        <f>IF(předvyplněný!43:43,"AAAAAHbbt0g=",0)</f>
        <v>0</v>
      </c>
      <c r="BV4" t="e">
        <f>AND(předvyplněný!A43,"AAAAAHbbt0k=")</f>
        <v>#VALUE!</v>
      </c>
      <c r="BW4" t="e">
        <f>AND(předvyplněný!B43,"AAAAAHbbt0o=")</f>
        <v>#VALUE!</v>
      </c>
      <c r="BX4" t="e">
        <f>AND(předvyplněný!C43,"AAAAAHbbt0s=")</f>
        <v>#VALUE!</v>
      </c>
      <c r="BY4" t="e">
        <f>AND(předvyplněný!D43,"AAAAAHbbt0w=")</f>
        <v>#VALUE!</v>
      </c>
      <c r="BZ4" t="e">
        <f>AND(předvyplněný!E43,"AAAAAHbbt00=")</f>
        <v>#VALUE!</v>
      </c>
      <c r="CA4" t="e">
        <f>AND(předvyplněný!F43,"AAAAAHbbt04=")</f>
        <v>#VALUE!</v>
      </c>
      <c r="CB4" t="e">
        <f>AND(předvyplněný!G43,"AAAAAHbbt08=")</f>
        <v>#VALUE!</v>
      </c>
      <c r="CC4" t="e">
        <f>AND(předvyplněný!H43,"AAAAAHbbt1A=")</f>
        <v>#VALUE!</v>
      </c>
      <c r="CD4" t="e">
        <f>AND(předvyplněný!I43,"AAAAAHbbt1E=")</f>
        <v>#VALUE!</v>
      </c>
      <c r="CE4" t="e">
        <f>AND(předvyplněný!J43,"AAAAAHbbt1I=")</f>
        <v>#VALUE!</v>
      </c>
      <c r="CF4" t="e">
        <f>AND(předvyplněný!K43,"AAAAAHbbt1M=")</f>
        <v>#VALUE!</v>
      </c>
      <c r="CG4" t="e">
        <f>AND(předvyplněný!L43,"AAAAAHbbt1Q=")</f>
        <v>#VALUE!</v>
      </c>
      <c r="CH4" t="e">
        <f>AND(předvyplněný!M43,"AAAAAHbbt1U=")</f>
        <v>#VALUE!</v>
      </c>
      <c r="CI4" t="e">
        <f>AND(předvyplněný!N43,"AAAAAHbbt1Y=")</f>
        <v>#VALUE!</v>
      </c>
      <c r="CJ4" t="e">
        <f>AND(předvyplněný!O43,"AAAAAHbbt1c=")</f>
        <v>#VALUE!</v>
      </c>
      <c r="CK4" t="e">
        <f>AND(předvyplněný!P43,"AAAAAHbbt1g=")</f>
        <v>#VALUE!</v>
      </c>
      <c r="CL4" t="e">
        <f>AND(předvyplněný!Q43,"AAAAAHbbt1k=")</f>
        <v>#VALUE!</v>
      </c>
      <c r="CM4" t="e">
        <f>AND(předvyplněný!R43,"AAAAAHbbt1o=")</f>
        <v>#VALUE!</v>
      </c>
      <c r="CN4" t="e">
        <f>AND(předvyplněný!S43,"AAAAAHbbt1s=")</f>
        <v>#VALUE!</v>
      </c>
      <c r="CO4" s="60">
        <f>IF(předvyplněný!44:44,"AAAAAHbbt1w=",0)</f>
        <v>0</v>
      </c>
      <c r="CP4" t="e">
        <f>AND(předvyplněný!A44,"AAAAAHbbt10=")</f>
        <v>#VALUE!</v>
      </c>
      <c r="CQ4" t="e">
        <f>AND(předvyplněný!B44,"AAAAAHbbt14=")</f>
        <v>#VALUE!</v>
      </c>
      <c r="CR4" t="e">
        <f>AND(předvyplněný!C44,"AAAAAHbbt18=")</f>
        <v>#VALUE!</v>
      </c>
      <c r="CS4" t="e">
        <f>AND(předvyplněný!D44,"AAAAAHbbt2A=")</f>
        <v>#VALUE!</v>
      </c>
      <c r="CT4" t="e">
        <f>AND(předvyplněný!E44,"AAAAAHbbt2E=")</f>
        <v>#VALUE!</v>
      </c>
      <c r="CU4" t="e">
        <f>AND(předvyplněný!F44,"AAAAAHbbt2I=")</f>
        <v>#VALUE!</v>
      </c>
      <c r="CV4" t="e">
        <f>AND(předvyplněný!G44,"AAAAAHbbt2M=")</f>
        <v>#VALUE!</v>
      </c>
      <c r="CW4" t="e">
        <f>AND(předvyplněný!H44,"AAAAAHbbt2Q=")</f>
        <v>#VALUE!</v>
      </c>
      <c r="CX4" t="e">
        <f>AND(předvyplněný!I44,"AAAAAHbbt2U=")</f>
        <v>#VALUE!</v>
      </c>
      <c r="CY4" t="e">
        <f>AND(předvyplněný!J44,"AAAAAHbbt2Y=")</f>
        <v>#VALUE!</v>
      </c>
      <c r="CZ4" t="e">
        <f>AND(předvyplněný!K44,"AAAAAHbbt2c=")</f>
        <v>#VALUE!</v>
      </c>
      <c r="DA4" t="e">
        <f>AND(předvyplněný!L44,"AAAAAHbbt2g=")</f>
        <v>#VALUE!</v>
      </c>
      <c r="DB4" t="e">
        <f>AND(předvyplněný!M44,"AAAAAHbbt2k=")</f>
        <v>#VALUE!</v>
      </c>
      <c r="DC4" t="e">
        <f>AND(předvyplněný!N44,"AAAAAHbbt2o=")</f>
        <v>#VALUE!</v>
      </c>
      <c r="DD4" t="e">
        <f>AND(předvyplněný!O44,"AAAAAHbbt2s=")</f>
        <v>#VALUE!</v>
      </c>
      <c r="DE4" t="e">
        <f>AND(předvyplněný!P44,"AAAAAHbbt2w=")</f>
        <v>#VALUE!</v>
      </c>
      <c r="DF4" t="e">
        <f>AND(předvyplněný!Q44,"AAAAAHbbt20=")</f>
        <v>#VALUE!</v>
      </c>
      <c r="DG4" t="e">
        <f>AND(předvyplněný!R44,"AAAAAHbbt24=")</f>
        <v>#VALUE!</v>
      </c>
      <c r="DH4" t="e">
        <f>AND(předvyplněný!S44,"AAAAAHbbt28=")</f>
        <v>#VALUE!</v>
      </c>
      <c r="DI4" s="60">
        <f>IF(předvyplněný!46:46,"AAAAAHbbt3A=",0)</f>
        <v>0</v>
      </c>
      <c r="DJ4" t="e">
        <f>AND(předvyplněný!A46,"AAAAAHbbt3E=")</f>
        <v>#VALUE!</v>
      </c>
      <c r="DK4" t="e">
        <f>AND(předvyplněný!B46,"AAAAAHbbt3I=")</f>
        <v>#VALUE!</v>
      </c>
      <c r="DL4" t="e">
        <f>AND(předvyplněný!C46,"AAAAAHbbt3M=")</f>
        <v>#VALUE!</v>
      </c>
      <c r="DM4" t="e">
        <f>AND(předvyplněný!D46,"AAAAAHbbt3Q=")</f>
        <v>#VALUE!</v>
      </c>
      <c r="DN4" t="e">
        <f>AND(předvyplněný!E46,"AAAAAHbbt3U=")</f>
        <v>#VALUE!</v>
      </c>
      <c r="DO4" t="e">
        <f>AND(předvyplněný!I10,"AAAAAHbbt3Y=")</f>
        <v>#VALUE!</v>
      </c>
      <c r="DP4" t="e">
        <f>AND(předvyplněný!G46,"AAAAAHbbt3c=")</f>
        <v>#VALUE!</v>
      </c>
      <c r="DQ4" t="e">
        <f>AND(předvyplněný!H46,"AAAAAHbbt3g=")</f>
        <v>#VALUE!</v>
      </c>
      <c r="DR4" t="e">
        <f>AND(předvyplněný!I46,"AAAAAHbbt3k=")</f>
        <v>#VALUE!</v>
      </c>
      <c r="DS4" t="e">
        <f>AND(předvyplněný!J46,"AAAAAHbbt3o=")</f>
        <v>#VALUE!</v>
      </c>
      <c r="DT4" t="e">
        <f>AND(předvyplněný!K46,"AAAAAHbbt3s=")</f>
        <v>#VALUE!</v>
      </c>
      <c r="DU4" t="e">
        <f>AND(předvyplněný!L46,"AAAAAHbbt3w=")</f>
        <v>#VALUE!</v>
      </c>
      <c r="DV4" t="e">
        <f>AND(předvyplněný!M46,"AAAAAHbbt30=")</f>
        <v>#VALUE!</v>
      </c>
      <c r="DW4" t="e">
        <f>AND(předvyplněný!N46,"AAAAAHbbt34=")</f>
        <v>#VALUE!</v>
      </c>
      <c r="DX4" t="e">
        <f>AND(předvyplněný!O46,"AAAAAHbbt38=")</f>
        <v>#VALUE!</v>
      </c>
      <c r="DY4" t="e">
        <f>AND(předvyplněný!P46,"AAAAAHbbt4A=")</f>
        <v>#VALUE!</v>
      </c>
      <c r="DZ4" t="e">
        <f>AND(předvyplněný!Q46,"AAAAAHbbt4E=")</f>
        <v>#VALUE!</v>
      </c>
      <c r="EA4" t="e">
        <f>AND(předvyplněný!R46,"AAAAAHbbt4I=")</f>
        <v>#VALUE!</v>
      </c>
      <c r="EB4" t="e">
        <f>AND(předvyplněný!S46,"AAAAAHbbt4M=")</f>
        <v>#VALUE!</v>
      </c>
      <c r="EC4" s="60" t="e">
        <f>IF(předvyplněný!#REF!,"AAAAAHbbt4Q=",0)</f>
        <v>#REF!</v>
      </c>
      <c r="ED4" t="e">
        <f>AND(předvyplněný!#REF!,"AAAAAHbbt4U=")</f>
        <v>#REF!</v>
      </c>
      <c r="EE4" t="e">
        <f>AND(předvyplněný!#REF!,"AAAAAHbbt4Y=")</f>
        <v>#REF!</v>
      </c>
      <c r="EF4" t="e">
        <f>AND(předvyplněný!#REF!,"AAAAAHbbt4c=")</f>
        <v>#REF!</v>
      </c>
      <c r="EG4" t="e">
        <f>AND(předvyplněný!#REF!,"AAAAAHbbt4g=")</f>
        <v>#REF!</v>
      </c>
      <c r="EH4" t="e">
        <f>AND(předvyplněný!#REF!,"AAAAAHbbt4k=")</f>
        <v>#REF!</v>
      </c>
      <c r="EI4" t="e">
        <f>AND(předvyplněný!#REF!,"AAAAAHbbt4o=")</f>
        <v>#REF!</v>
      </c>
      <c r="EJ4" t="e">
        <f>AND(předvyplněný!K10,"AAAAAHbbt4s=")</f>
        <v>#VALUE!</v>
      </c>
      <c r="EK4" t="e">
        <f>AND(předvyplněný!L10,"AAAAAHbbt4w=")</f>
        <v>#VALUE!</v>
      </c>
      <c r="EL4" t="e">
        <f>AND(předvyplněný!M10,"AAAAAHbbt40=")</f>
        <v>#VALUE!</v>
      </c>
      <c r="EM4" t="e">
        <f>AND(předvyplněný!O10,"AAAAAHbbt44=")</f>
        <v>#VALUE!</v>
      </c>
      <c r="EN4" t="e">
        <f>AND(předvyplněný!#REF!,"AAAAAHbbt48=")</f>
        <v>#REF!</v>
      </c>
      <c r="EO4" t="e">
        <f>AND(předvyplněný!#REF!,"AAAAAHbbt5A=")</f>
        <v>#REF!</v>
      </c>
      <c r="EP4" t="e">
        <f>AND(předvyplněný!#REF!,"AAAAAHbbt5E=")</f>
        <v>#REF!</v>
      </c>
      <c r="EQ4" t="e">
        <f>AND(předvyplněný!#REF!,"AAAAAHbbt5I=")</f>
        <v>#REF!</v>
      </c>
      <c r="ER4" t="e">
        <f>AND(předvyplněný!#REF!,"AAAAAHbbt5M=")</f>
        <v>#REF!</v>
      </c>
      <c r="ES4" t="e">
        <f>AND(předvyplněný!#REF!,"AAAAAHbbt5Q=")</f>
        <v>#REF!</v>
      </c>
      <c r="ET4" t="e">
        <f>AND(předvyplněný!#REF!,"AAAAAHbbt5U=")</f>
        <v>#REF!</v>
      </c>
      <c r="EU4" t="e">
        <f>AND(předvyplněný!#REF!,"AAAAAHbbt5Y=")</f>
        <v>#REF!</v>
      </c>
      <c r="EV4" t="e">
        <f>AND(předvyplněný!#REF!,"AAAAAHbbt5c=")</f>
        <v>#REF!</v>
      </c>
      <c r="EW4" s="60" t="e">
        <f>IF(předvyplněný!#REF!,"AAAAAHbbt5g=",0)</f>
        <v>#REF!</v>
      </c>
      <c r="EX4" t="e">
        <f>AND(předvyplněný!#REF!,"AAAAAHbbt5k=")</f>
        <v>#REF!</v>
      </c>
      <c r="EY4" t="e">
        <f>AND(předvyplněný!#REF!,"AAAAAHbbt5o=")</f>
        <v>#REF!</v>
      </c>
      <c r="EZ4" t="e">
        <f>AND(předvyplněný!#REF!,"AAAAAHbbt5s=")</f>
        <v>#REF!</v>
      </c>
      <c r="FA4" t="e">
        <f>AND(předvyplněný!#REF!,"AAAAAHbbt5w=")</f>
        <v>#REF!</v>
      </c>
      <c r="FB4" t="e">
        <f>AND(předvyplněný!#REF!,"AAAAAHbbt50=")</f>
        <v>#REF!</v>
      </c>
      <c r="FC4" t="e">
        <f>AND(předvyplněný!#REF!,"AAAAAHbbt54=")</f>
        <v>#REF!</v>
      </c>
      <c r="FD4" t="e">
        <f>AND(předvyplněný!#REF!,"AAAAAHbbt58=")</f>
        <v>#REF!</v>
      </c>
      <c r="FE4" t="e">
        <f>AND(předvyplněný!#REF!,"AAAAAHbbt6A=")</f>
        <v>#REF!</v>
      </c>
      <c r="FF4" t="e">
        <f>AND(předvyplněný!#REF!,"AAAAAHbbt6E=")</f>
        <v>#REF!</v>
      </c>
      <c r="FG4" t="e">
        <f>AND(předvyplněný!#REF!,"AAAAAHbbt6I=")</f>
        <v>#REF!</v>
      </c>
      <c r="FH4" t="e">
        <f>AND(předvyplněný!#REF!,"AAAAAHbbt6M=")</f>
        <v>#REF!</v>
      </c>
      <c r="FI4" t="e">
        <f>AND(předvyplněný!#REF!,"AAAAAHbbt6Q=")</f>
        <v>#REF!</v>
      </c>
      <c r="FJ4" t="e">
        <f>AND(předvyplněný!#REF!,"AAAAAHbbt6U=")</f>
        <v>#REF!</v>
      </c>
      <c r="FK4" t="e">
        <f>AND(předvyplněný!#REF!,"AAAAAHbbt6Y=")</f>
        <v>#REF!</v>
      </c>
      <c r="FL4" t="e">
        <f>AND(předvyplněný!#REF!,"AAAAAHbbt6c=")</f>
        <v>#REF!</v>
      </c>
      <c r="FM4" t="e">
        <f>AND(předvyplněný!#REF!,"AAAAAHbbt6g=")</f>
        <v>#REF!</v>
      </c>
      <c r="FN4" t="e">
        <f>AND(předvyplněný!#REF!,"AAAAAHbbt6k=")</f>
        <v>#REF!</v>
      </c>
      <c r="FO4" t="e">
        <f>AND(předvyplněný!#REF!,"AAAAAHbbt6o=")</f>
        <v>#REF!</v>
      </c>
      <c r="FP4" t="e">
        <f>AND(předvyplněný!#REF!,"AAAAAHbbt6s=")</f>
        <v>#REF!</v>
      </c>
      <c r="FQ4" s="60">
        <f>IF(předvyplněný!47:47,"AAAAAHbbt6w=",0)</f>
        <v>0</v>
      </c>
      <c r="FR4" t="e">
        <f>AND(předvyplněný!A47,"AAAAAHbbt60=")</f>
        <v>#VALUE!</v>
      </c>
      <c r="FS4" t="e">
        <f>AND(předvyplněný!B47,"AAAAAHbbt64=")</f>
        <v>#VALUE!</v>
      </c>
      <c r="FT4" t="e">
        <f>AND(předvyplněný!C47,"AAAAAHbbt68=")</f>
        <v>#VALUE!</v>
      </c>
      <c r="FU4" t="e">
        <f>AND(předvyplněný!D47,"AAAAAHbbt7A=")</f>
        <v>#VALUE!</v>
      </c>
      <c r="FV4" t="e">
        <f>AND(předvyplněný!E47,"AAAAAHbbt7E=")</f>
        <v>#VALUE!</v>
      </c>
      <c r="FW4" t="e">
        <f>AND(předvyplněný!F47,"AAAAAHbbt7I=")</f>
        <v>#VALUE!</v>
      </c>
      <c r="FX4" t="e">
        <f>AND(předvyplněný!G47,"AAAAAHbbt7M=")</f>
        <v>#VALUE!</v>
      </c>
      <c r="FY4" t="e">
        <f>AND(předvyplněný!H47,"AAAAAHbbt7Q=")</f>
        <v>#VALUE!</v>
      </c>
      <c r="FZ4" t="e">
        <f>AND(předvyplněný!I47,"AAAAAHbbt7U=")</f>
        <v>#VALUE!</v>
      </c>
      <c r="GA4" t="e">
        <f>AND(předvyplněný!J47,"AAAAAHbbt7Y=")</f>
        <v>#VALUE!</v>
      </c>
      <c r="GB4" t="e">
        <f>AND(předvyplněný!K47,"AAAAAHbbt7c=")</f>
        <v>#VALUE!</v>
      </c>
      <c r="GC4" t="e">
        <f>AND(předvyplněný!L47,"AAAAAHbbt7g=")</f>
        <v>#VALUE!</v>
      </c>
      <c r="GD4" t="e">
        <f>AND(předvyplněný!M47,"AAAAAHbbt7k=")</f>
        <v>#VALUE!</v>
      </c>
      <c r="GE4" t="e">
        <f>AND(předvyplněný!N47,"AAAAAHbbt7o=")</f>
        <v>#VALUE!</v>
      </c>
      <c r="GF4" t="e">
        <f>AND(předvyplněný!O47,"AAAAAHbbt7s=")</f>
        <v>#VALUE!</v>
      </c>
      <c r="GG4" t="e">
        <f>AND(předvyplněný!P47,"AAAAAHbbt7w=")</f>
        <v>#VALUE!</v>
      </c>
      <c r="GH4" t="e">
        <f>AND(předvyplněný!Q47,"AAAAAHbbt70=")</f>
        <v>#VALUE!</v>
      </c>
      <c r="GI4" t="e">
        <f>AND(předvyplněný!R47,"AAAAAHbbt74=")</f>
        <v>#VALUE!</v>
      </c>
      <c r="GJ4" t="e">
        <f>AND(předvyplněný!S47,"AAAAAHbbt78=")</f>
        <v>#VALUE!</v>
      </c>
      <c r="GK4" s="60">
        <f>IF(předvyplněný!48:48,"AAAAAHbbt8A=",0)</f>
        <v>0</v>
      </c>
      <c r="GL4" s="60">
        <f>IF(předvyplněný!49:49,"AAAAAHbbt8E=",0)</f>
        <v>0</v>
      </c>
      <c r="GM4" s="60">
        <f>IF(předvyplněný!50:50,"AAAAAHbbt8I=",0)</f>
        <v>0</v>
      </c>
      <c r="GN4" s="60">
        <f>IF(předvyplněný!A:A,"AAAAAHbbt8M=",0)</f>
        <v>0</v>
      </c>
      <c r="GO4" s="60">
        <f>IF(předvyplněný!B:B,"AAAAAHbbt8Q=",0)</f>
        <v>0</v>
      </c>
      <c r="GP4" s="60">
        <f>IF(předvyplněný!C:C,"AAAAAHbbt8U=",0)</f>
        <v>0</v>
      </c>
      <c r="GQ4" s="60">
        <f>IF(předvyplněný!D:D,"AAAAAHbbt8Y=",0)</f>
        <v>0</v>
      </c>
      <c r="GR4" s="60">
        <f>IF(předvyplněný!E:E,"AAAAAHbbt8c=",0)</f>
        <v>0</v>
      </c>
      <c r="GS4" s="60">
        <f>IF(předvyplněný!F:F,"AAAAAHbbt8g=",0)</f>
        <v>0</v>
      </c>
      <c r="GT4" s="60">
        <f>IF(předvyplněný!G:G,"AAAAAHbbt8k=",0)</f>
        <v>0</v>
      </c>
      <c r="GU4" s="60">
        <f>IF(předvyplněný!H:H,"AAAAAHbbt8o=",0)</f>
        <v>0</v>
      </c>
      <c r="GV4" s="60">
        <f>IF(předvyplněný!I:I,"AAAAAHbbt8s=",0)</f>
        <v>0</v>
      </c>
      <c r="GW4" s="60">
        <f>IF(předvyplněný!J:J,"AAAAAHbbt8w=",0)</f>
        <v>0</v>
      </c>
      <c r="GX4" s="60">
        <f>IF(předvyplněný!K:K,"AAAAAHbbt80=",0)</f>
        <v>0</v>
      </c>
      <c r="GY4" s="60">
        <f>IF(předvyplněný!L:L,"AAAAAHbbt84=",0)</f>
        <v>0</v>
      </c>
      <c r="GZ4" s="60">
        <f>IF(předvyplněný!M:M,"AAAAAHbbt88=",0)</f>
        <v>0</v>
      </c>
      <c r="HA4" s="60">
        <f>IF(předvyplněný!N:N,"AAAAAHbbt9A=",0)</f>
        <v>0</v>
      </c>
      <c r="HB4" s="60">
        <f>IF(předvyplněný!O:O,"AAAAAHbbt9E=",0)</f>
        <v>0</v>
      </c>
      <c r="HC4" s="60">
        <f>IF(předvyplněný!P:P,"AAAAAHbbt9I=",0)</f>
        <v>0</v>
      </c>
      <c r="HD4" s="60">
        <f>IF(předvyplněný!Q:Q,"AAAAAHbbt9M=",0)</f>
        <v>0</v>
      </c>
      <c r="HE4" s="60">
        <f>IF(předvyplněný!R:R,"AAAAAHbbt9Q=",0)</f>
        <v>0</v>
      </c>
      <c r="HF4" s="60">
        <f>IF(předvyplněný!S:S,"AAAAAHbbt9U=",0)</f>
        <v>0</v>
      </c>
      <c r="HG4" s="60">
        <f>IF(nepředvyplněný!1:1,"AAAAAHbbt9Y=",0)</f>
        <v>0</v>
      </c>
      <c r="HH4" t="e">
        <f>AND(nepředvyplněný!A1,"AAAAAHbbt9c=")</f>
        <v>#VALUE!</v>
      </c>
      <c r="HI4" t="e">
        <f>AND(nepředvyplněný!B1,"AAAAAHbbt9g=")</f>
        <v>#VALUE!</v>
      </c>
      <c r="HJ4" t="e">
        <f>AND(nepředvyplněný!C1,"AAAAAHbbt9k=")</f>
        <v>#VALUE!</v>
      </c>
      <c r="HK4" t="e">
        <f>AND(nepředvyplněný!D1,"AAAAAHbbt9o=")</f>
        <v>#VALUE!</v>
      </c>
      <c r="HL4" t="e">
        <f>AND(nepředvyplněný!E1,"AAAAAHbbt9s=")</f>
        <v>#VALUE!</v>
      </c>
      <c r="HM4" t="e">
        <f>AND(nepředvyplněný!F1,"AAAAAHbbt9w=")</f>
        <v>#VALUE!</v>
      </c>
      <c r="HN4" t="e">
        <f>AND(nepředvyplněný!G1,"AAAAAHbbt90=")</f>
        <v>#VALUE!</v>
      </c>
      <c r="HO4" t="e">
        <f>AND(nepředvyplněný!H1,"AAAAAHbbt94=")</f>
        <v>#VALUE!</v>
      </c>
      <c r="HP4" t="e">
        <f>AND(nepředvyplněný!I1,"AAAAAHbbt98=")</f>
        <v>#VALUE!</v>
      </c>
      <c r="HQ4" t="e">
        <f>AND(nepředvyplněný!J1,"AAAAAHbbt+A=")</f>
        <v>#VALUE!</v>
      </c>
      <c r="HR4" t="e">
        <f>AND(nepředvyplněný!K1,"AAAAAHbbt+E=")</f>
        <v>#VALUE!</v>
      </c>
      <c r="HS4" t="e">
        <f>AND(nepředvyplněný!L1,"AAAAAHbbt+I=")</f>
        <v>#VALUE!</v>
      </c>
      <c r="HT4" t="e">
        <f>AND(nepředvyplněný!M1,"AAAAAHbbt+M=")</f>
        <v>#VALUE!</v>
      </c>
      <c r="HU4" t="e">
        <f>AND(nepředvyplněný!N1,"AAAAAHbbt+Q=")</f>
        <v>#VALUE!</v>
      </c>
      <c r="HV4" t="e">
        <f>AND(nepředvyplněný!O1,"AAAAAHbbt+U=")</f>
        <v>#VALUE!</v>
      </c>
      <c r="HW4" t="e">
        <f>AND(nepředvyplněný!P1,"AAAAAHbbt+Y=")</f>
        <v>#VALUE!</v>
      </c>
      <c r="HX4" t="e">
        <f>AND(nepředvyplněný!Q1,"AAAAAHbbt+c=")</f>
        <v>#VALUE!</v>
      </c>
      <c r="HY4" t="e">
        <f>AND(nepředvyplněný!R1,"AAAAAHbbt+g=")</f>
        <v>#VALUE!</v>
      </c>
      <c r="HZ4" t="e">
        <f>AND(nepředvyplněný!S1,"AAAAAHbbt+k=")</f>
        <v>#VALUE!</v>
      </c>
      <c r="IA4" s="60">
        <f>IF(nepředvyplněný!2:2,"AAAAAHbbt+o=",0)</f>
        <v>0</v>
      </c>
      <c r="IB4" t="e">
        <f>AND(nepředvyplněný!A2,"AAAAAHbbt+s=")</f>
        <v>#VALUE!</v>
      </c>
      <c r="IC4" t="e">
        <f>AND(nepředvyplněný!B2,"AAAAAHbbt+w=")</f>
        <v>#VALUE!</v>
      </c>
      <c r="ID4" t="e">
        <f>AND(nepředvyplněný!C2,"AAAAAHbbt+0=")</f>
        <v>#VALUE!</v>
      </c>
      <c r="IE4" t="e">
        <f>AND(nepředvyplněný!D2,"AAAAAHbbt+4=")</f>
        <v>#VALUE!</v>
      </c>
      <c r="IF4" t="e">
        <f>AND(nepředvyplněný!E2,"AAAAAHbbt+8=")</f>
        <v>#VALUE!</v>
      </c>
      <c r="IG4" t="e">
        <f>AND(nepředvyplněný!F2,"AAAAAHbbt/A=")</f>
        <v>#VALUE!</v>
      </c>
      <c r="IH4" t="e">
        <f>AND(nepředvyplněný!G2,"AAAAAHbbt/E=")</f>
        <v>#VALUE!</v>
      </c>
      <c r="II4" t="e">
        <f>AND(nepředvyplněný!H2,"AAAAAHbbt/I=")</f>
        <v>#VALUE!</v>
      </c>
      <c r="IJ4" t="e">
        <f>AND(nepředvyplněný!I2,"AAAAAHbbt/M=")</f>
        <v>#VALUE!</v>
      </c>
      <c r="IK4" t="e">
        <f>AND(nepředvyplněný!J2,"AAAAAHbbt/Q=")</f>
        <v>#VALUE!</v>
      </c>
      <c r="IL4" t="e">
        <f>AND(nepředvyplněný!K2,"AAAAAHbbt/U=")</f>
        <v>#VALUE!</v>
      </c>
      <c r="IM4" t="e">
        <f>AND(nepředvyplněný!L2,"AAAAAHbbt/Y=")</f>
        <v>#VALUE!</v>
      </c>
      <c r="IN4" t="e">
        <f>AND(nepředvyplněný!M2,"AAAAAHbbt/c=")</f>
        <v>#VALUE!</v>
      </c>
      <c r="IO4" t="e">
        <f>AND(nepředvyplněný!N2,"AAAAAHbbt/g=")</f>
        <v>#VALUE!</v>
      </c>
      <c r="IP4" t="e">
        <f>AND(nepředvyplněný!O2,"AAAAAHbbt/k=")</f>
        <v>#VALUE!</v>
      </c>
      <c r="IQ4" t="e">
        <f>AND(nepředvyplněný!P2,"AAAAAHbbt/o=")</f>
        <v>#VALUE!</v>
      </c>
      <c r="IR4" t="e">
        <f>AND(nepředvyplněný!Q2,"AAAAAHbbt/s=")</f>
        <v>#VALUE!</v>
      </c>
      <c r="IS4" t="e">
        <f>AND(nepředvyplněný!R2,"AAAAAHbbt/w=")</f>
        <v>#VALUE!</v>
      </c>
      <c r="IT4" t="e">
        <f>AND(nepředvyplněný!S2,"AAAAAHbbt/0=")</f>
        <v>#VALUE!</v>
      </c>
      <c r="IU4" s="60">
        <f>IF(nepředvyplněný!3:3,"AAAAAHbbt/4=",0)</f>
        <v>0</v>
      </c>
      <c r="IV4" t="e">
        <f>AND(nepředvyplněný!A3,"AAAAAHbbt/8=")</f>
        <v>#VALUE!</v>
      </c>
    </row>
    <row r="5" spans="1:256">
      <c r="A5" t="e">
        <f>AND(nepředvyplněný!B3,"AAAAAH/Z7AA=")</f>
        <v>#VALUE!</v>
      </c>
      <c r="B5" t="e">
        <f>AND(nepředvyplněný!C3,"AAAAAH/Z7AE=")</f>
        <v>#VALUE!</v>
      </c>
      <c r="C5" t="e">
        <f>AND(nepředvyplněný!D3,"AAAAAH/Z7AI=")</f>
        <v>#VALUE!</v>
      </c>
      <c r="D5" t="e">
        <f>AND(nepředvyplněný!E3,"AAAAAH/Z7AM=")</f>
        <v>#VALUE!</v>
      </c>
      <c r="E5" t="e">
        <f>AND(nepředvyplněný!F3,"AAAAAH/Z7AQ=")</f>
        <v>#VALUE!</v>
      </c>
      <c r="F5" t="e">
        <f>AND(nepředvyplněný!G3,"AAAAAH/Z7AU=")</f>
        <v>#VALUE!</v>
      </c>
      <c r="G5" t="e">
        <f>AND(nepředvyplněný!H3,"AAAAAH/Z7AY=")</f>
        <v>#VALUE!</v>
      </c>
      <c r="H5" t="e">
        <f>AND(nepředvyplněný!I3,"AAAAAH/Z7Ac=")</f>
        <v>#VALUE!</v>
      </c>
      <c r="I5" t="e">
        <f>AND(nepředvyplněný!J3,"AAAAAH/Z7Ag=")</f>
        <v>#VALUE!</v>
      </c>
      <c r="J5" t="e">
        <f>AND(nepředvyplněný!K3,"AAAAAH/Z7Ak=")</f>
        <v>#VALUE!</v>
      </c>
      <c r="K5" t="e">
        <f>AND(nepředvyplněný!L3,"AAAAAH/Z7Ao=")</f>
        <v>#VALUE!</v>
      </c>
      <c r="L5" t="e">
        <f>AND(nepředvyplněný!M3,"AAAAAH/Z7As=")</f>
        <v>#VALUE!</v>
      </c>
      <c r="M5" t="e">
        <f>AND(nepředvyplněný!N3,"AAAAAH/Z7Aw=")</f>
        <v>#VALUE!</v>
      </c>
      <c r="N5" t="e">
        <f>AND(nepředvyplněný!O3,"AAAAAH/Z7A0=")</f>
        <v>#VALUE!</v>
      </c>
      <c r="O5" t="e">
        <f>AND(nepředvyplněný!P3,"AAAAAH/Z7A4=")</f>
        <v>#VALUE!</v>
      </c>
      <c r="P5" t="e">
        <f>AND(nepředvyplněný!Q3,"AAAAAH/Z7A8=")</f>
        <v>#VALUE!</v>
      </c>
      <c r="Q5" t="e">
        <f>AND(nepředvyplněný!R3,"AAAAAH/Z7BA=")</f>
        <v>#VALUE!</v>
      </c>
      <c r="R5" t="e">
        <f>AND(nepředvyplněný!S3,"AAAAAH/Z7BE=")</f>
        <v>#VALUE!</v>
      </c>
      <c r="S5" s="60">
        <f>IF(nepředvyplněný!4:4,"AAAAAH/Z7BI=",0)</f>
        <v>0</v>
      </c>
      <c r="T5" t="e">
        <f>AND(nepředvyplněný!A4,"AAAAAH/Z7BM=")</f>
        <v>#VALUE!</v>
      </c>
      <c r="U5" t="e">
        <f>AND(nepředvyplněný!B4,"AAAAAH/Z7BQ=")</f>
        <v>#VALUE!</v>
      </c>
      <c r="V5" t="e">
        <f>AND(nepředvyplněný!C4,"AAAAAH/Z7BU=")</f>
        <v>#VALUE!</v>
      </c>
      <c r="W5" t="e">
        <f>AND(nepředvyplněný!D4,"AAAAAH/Z7BY=")</f>
        <v>#VALUE!</v>
      </c>
      <c r="X5" t="e">
        <f>AND(nepředvyplněný!E4,"AAAAAH/Z7Bc=")</f>
        <v>#VALUE!</v>
      </c>
      <c r="Y5" t="e">
        <f>AND(nepředvyplněný!F4,"AAAAAH/Z7Bg=")</f>
        <v>#VALUE!</v>
      </c>
      <c r="Z5" t="e">
        <f>AND(nepředvyplněný!G4,"AAAAAH/Z7Bk=")</f>
        <v>#VALUE!</v>
      </c>
      <c r="AA5" t="e">
        <f>AND(nepředvyplněný!H4,"AAAAAH/Z7Bo=")</f>
        <v>#VALUE!</v>
      </c>
      <c r="AB5" t="e">
        <f>AND(nepředvyplněný!I4,"AAAAAH/Z7Bs=")</f>
        <v>#VALUE!</v>
      </c>
      <c r="AC5" t="e">
        <f>AND(nepředvyplněný!J4,"AAAAAH/Z7Bw=")</f>
        <v>#VALUE!</v>
      </c>
      <c r="AD5" t="e">
        <f>AND(nepředvyplněný!K4,"AAAAAH/Z7B0=")</f>
        <v>#VALUE!</v>
      </c>
      <c r="AE5" t="e">
        <f>AND(nepředvyplněný!L4,"AAAAAH/Z7B4=")</f>
        <v>#VALUE!</v>
      </c>
      <c r="AF5" t="e">
        <f>AND(nepředvyplněný!M4,"AAAAAH/Z7B8=")</f>
        <v>#VALUE!</v>
      </c>
      <c r="AG5" t="e">
        <f>AND(nepředvyplněný!N4,"AAAAAH/Z7CA=")</f>
        <v>#VALUE!</v>
      </c>
      <c r="AH5" t="e">
        <f>AND(nepředvyplněný!O4,"AAAAAH/Z7CE=")</f>
        <v>#VALUE!</v>
      </c>
      <c r="AI5" t="e">
        <f>AND(nepředvyplněný!P4,"AAAAAH/Z7CI=")</f>
        <v>#VALUE!</v>
      </c>
      <c r="AJ5" t="e">
        <f>AND(nepředvyplněný!Q4,"AAAAAH/Z7CM=")</f>
        <v>#VALUE!</v>
      </c>
      <c r="AK5" t="e">
        <f>AND(nepředvyplněný!R4,"AAAAAH/Z7CQ=")</f>
        <v>#VALUE!</v>
      </c>
      <c r="AL5" t="e">
        <f>AND(nepředvyplněný!S4,"AAAAAH/Z7CU=")</f>
        <v>#VALUE!</v>
      </c>
      <c r="AM5" s="60">
        <f>IF(nepředvyplněný!5:5,"AAAAAH/Z7CY=",0)</f>
        <v>0</v>
      </c>
      <c r="AN5" t="e">
        <f>AND(nepředvyplněný!A5,"AAAAAH/Z7Cc=")</f>
        <v>#VALUE!</v>
      </c>
      <c r="AO5" t="e">
        <f>AND(nepředvyplněný!B5,"AAAAAH/Z7Cg=")</f>
        <v>#VALUE!</v>
      </c>
      <c r="AP5" t="e">
        <f>AND(nepředvyplněný!C5,"AAAAAH/Z7Ck=")</f>
        <v>#VALUE!</v>
      </c>
      <c r="AQ5" t="e">
        <f>AND(nepředvyplněný!D5,"AAAAAH/Z7Co=")</f>
        <v>#VALUE!</v>
      </c>
      <c r="AR5" t="e">
        <f>AND(nepředvyplněný!E5,"AAAAAH/Z7Cs=")</f>
        <v>#VALUE!</v>
      </c>
      <c r="AS5" t="e">
        <f>AND(nepředvyplněný!F5,"AAAAAH/Z7Cw=")</f>
        <v>#VALUE!</v>
      </c>
      <c r="AT5" t="e">
        <f>AND(nepředvyplněný!G5,"AAAAAH/Z7C0=")</f>
        <v>#VALUE!</v>
      </c>
      <c r="AU5" t="e">
        <f>AND(nepředvyplněný!H5,"AAAAAH/Z7C4=")</f>
        <v>#VALUE!</v>
      </c>
      <c r="AV5" t="e">
        <f>AND(nepředvyplněný!I5,"AAAAAH/Z7C8=")</f>
        <v>#VALUE!</v>
      </c>
      <c r="AW5" t="e">
        <f>AND(nepředvyplněný!J5,"AAAAAH/Z7DA=")</f>
        <v>#VALUE!</v>
      </c>
      <c r="AX5" t="e">
        <f>AND(nepředvyplněný!K5,"AAAAAH/Z7DE=")</f>
        <v>#VALUE!</v>
      </c>
      <c r="AY5" t="e">
        <f>AND(nepředvyplněný!L5,"AAAAAH/Z7DI=")</f>
        <v>#VALUE!</v>
      </c>
      <c r="AZ5" t="e">
        <f>AND(nepředvyplněný!M5,"AAAAAH/Z7DM=")</f>
        <v>#VALUE!</v>
      </c>
      <c r="BA5" t="e">
        <f>AND(nepředvyplněný!N5,"AAAAAH/Z7DQ=")</f>
        <v>#VALUE!</v>
      </c>
      <c r="BB5" t="e">
        <f>AND(nepředvyplněný!O5,"AAAAAH/Z7DU=")</f>
        <v>#VALUE!</v>
      </c>
      <c r="BC5" t="e">
        <f>AND(nepředvyplněný!P5,"AAAAAH/Z7DY=")</f>
        <v>#VALUE!</v>
      </c>
      <c r="BD5" t="e">
        <f>AND(nepředvyplněný!Q5,"AAAAAH/Z7Dc=")</f>
        <v>#VALUE!</v>
      </c>
      <c r="BE5" t="e">
        <f>AND(nepředvyplněný!R5,"AAAAAH/Z7Dg=")</f>
        <v>#VALUE!</v>
      </c>
      <c r="BF5" t="e">
        <f>AND(nepředvyplněný!S5,"AAAAAH/Z7Dk=")</f>
        <v>#VALUE!</v>
      </c>
      <c r="BG5" s="60">
        <f>IF(nepředvyplněný!6:6,"AAAAAH/Z7Do=",0)</f>
        <v>0</v>
      </c>
      <c r="BH5" t="e">
        <f>AND(nepředvyplněný!A6,"AAAAAH/Z7Ds=")</f>
        <v>#VALUE!</v>
      </c>
      <c r="BI5" t="e">
        <f>AND(nepředvyplněný!B6,"AAAAAH/Z7Dw=")</f>
        <v>#VALUE!</v>
      </c>
      <c r="BJ5" t="e">
        <f>AND(nepředvyplněný!C6,"AAAAAH/Z7D0=")</f>
        <v>#VALUE!</v>
      </c>
      <c r="BK5" t="e">
        <f>AND(nepředvyplněný!D6,"AAAAAH/Z7D4=")</f>
        <v>#VALUE!</v>
      </c>
      <c r="BL5" t="e">
        <f>AND(nepředvyplněný!E6,"AAAAAH/Z7D8=")</f>
        <v>#VALUE!</v>
      </c>
      <c r="BM5" t="e">
        <f>AND(nepředvyplněný!F6,"AAAAAH/Z7EA=")</f>
        <v>#VALUE!</v>
      </c>
      <c r="BN5" t="e">
        <f>AND(nepředvyplněný!G6,"AAAAAH/Z7EE=")</f>
        <v>#VALUE!</v>
      </c>
      <c r="BO5" t="e">
        <f>AND(nepředvyplněný!H6,"AAAAAH/Z7EI=")</f>
        <v>#VALUE!</v>
      </c>
      <c r="BP5" t="e">
        <f>AND(nepředvyplněný!I6,"AAAAAH/Z7EM=")</f>
        <v>#VALUE!</v>
      </c>
      <c r="BQ5" t="e">
        <f>AND(nepředvyplněný!J6,"AAAAAH/Z7EQ=")</f>
        <v>#VALUE!</v>
      </c>
      <c r="BR5" t="e">
        <f>AND(nepředvyplněný!K6,"AAAAAH/Z7EU=")</f>
        <v>#VALUE!</v>
      </c>
      <c r="BS5" t="e">
        <f>AND(nepředvyplněný!L6,"AAAAAH/Z7EY=")</f>
        <v>#VALUE!</v>
      </c>
      <c r="BT5" t="e">
        <f>AND(nepředvyplněný!M6,"AAAAAH/Z7Ec=")</f>
        <v>#VALUE!</v>
      </c>
      <c r="BU5" t="e">
        <f>AND(nepředvyplněný!N6,"AAAAAH/Z7Eg=")</f>
        <v>#VALUE!</v>
      </c>
      <c r="BV5" t="e">
        <f>AND(nepředvyplněný!O6,"AAAAAH/Z7Ek=")</f>
        <v>#VALUE!</v>
      </c>
      <c r="BW5" t="e">
        <f>AND(nepředvyplněný!P6,"AAAAAH/Z7Eo=")</f>
        <v>#VALUE!</v>
      </c>
      <c r="BX5" t="e">
        <f>AND(nepředvyplněný!Q6,"AAAAAH/Z7Es=")</f>
        <v>#VALUE!</v>
      </c>
      <c r="BY5" t="e">
        <f>AND(nepředvyplněný!R6,"AAAAAH/Z7Ew=")</f>
        <v>#VALUE!</v>
      </c>
      <c r="BZ5" t="e">
        <f>AND(nepředvyplněný!S6,"AAAAAH/Z7E0=")</f>
        <v>#VALUE!</v>
      </c>
      <c r="CA5" s="60">
        <f>IF(nepředvyplněný!7:7,"AAAAAH/Z7E4=",0)</f>
        <v>0</v>
      </c>
      <c r="CB5" t="e">
        <f>AND(nepředvyplněný!A7,"AAAAAH/Z7E8=")</f>
        <v>#VALUE!</v>
      </c>
      <c r="CC5" t="e">
        <f>AND(nepředvyplněný!B7,"AAAAAH/Z7FA=")</f>
        <v>#VALUE!</v>
      </c>
      <c r="CD5" t="e">
        <f>AND(nepředvyplněný!C7,"AAAAAH/Z7FE=")</f>
        <v>#VALUE!</v>
      </c>
      <c r="CE5" t="e">
        <f>AND(nepředvyplněný!D7,"AAAAAH/Z7FI=")</f>
        <v>#VALUE!</v>
      </c>
      <c r="CF5" t="e">
        <f>AND(nepředvyplněný!E7,"AAAAAH/Z7FM=")</f>
        <v>#VALUE!</v>
      </c>
      <c r="CG5" t="e">
        <f>AND(nepředvyplněný!F7,"AAAAAH/Z7FQ=")</f>
        <v>#VALUE!</v>
      </c>
      <c r="CH5" t="e">
        <f>AND(nepředvyplněný!G7,"AAAAAH/Z7FU=")</f>
        <v>#VALUE!</v>
      </c>
      <c r="CI5" t="e">
        <f>AND(nepředvyplněný!H7,"AAAAAH/Z7FY=")</f>
        <v>#VALUE!</v>
      </c>
      <c r="CJ5" t="e">
        <f>AND(nepředvyplněný!I7,"AAAAAH/Z7Fc=")</f>
        <v>#VALUE!</v>
      </c>
      <c r="CK5" t="e">
        <f>AND(nepředvyplněný!J7,"AAAAAH/Z7Fg=")</f>
        <v>#VALUE!</v>
      </c>
      <c r="CL5" t="e">
        <f>AND(nepředvyplněný!K7,"AAAAAH/Z7Fk=")</f>
        <v>#VALUE!</v>
      </c>
      <c r="CM5" t="e">
        <f>AND(nepředvyplněný!L7,"AAAAAH/Z7Fo=")</f>
        <v>#VALUE!</v>
      </c>
      <c r="CN5" t="e">
        <f>AND(nepředvyplněný!M7,"AAAAAH/Z7Fs=")</f>
        <v>#VALUE!</v>
      </c>
      <c r="CO5" t="e">
        <f>AND(nepředvyplněný!N7,"AAAAAH/Z7Fw=")</f>
        <v>#VALUE!</v>
      </c>
      <c r="CP5" t="e">
        <f>AND(nepředvyplněný!O7,"AAAAAH/Z7F0=")</f>
        <v>#VALUE!</v>
      </c>
      <c r="CQ5" t="e">
        <f>AND(nepředvyplněný!P7,"AAAAAH/Z7F4=")</f>
        <v>#VALUE!</v>
      </c>
      <c r="CR5" t="e">
        <f>AND(nepředvyplněný!Q7,"AAAAAH/Z7F8=")</f>
        <v>#VALUE!</v>
      </c>
      <c r="CS5" t="e">
        <f>AND(nepředvyplněný!R7,"AAAAAH/Z7GA=")</f>
        <v>#VALUE!</v>
      </c>
      <c r="CT5" t="e">
        <f>AND(nepředvyplněný!S7,"AAAAAH/Z7GE=")</f>
        <v>#VALUE!</v>
      </c>
      <c r="CU5" s="60">
        <f>IF(nepředvyplněný!8:8,"AAAAAH/Z7GI=",0)</f>
        <v>0</v>
      </c>
      <c r="CV5" t="e">
        <f>AND(nepředvyplněný!A8,"AAAAAH/Z7GM=")</f>
        <v>#VALUE!</v>
      </c>
      <c r="CW5" t="e">
        <f>AND(nepředvyplněný!B8,"AAAAAH/Z7GQ=")</f>
        <v>#VALUE!</v>
      </c>
      <c r="CX5" t="e">
        <f>AND(nepředvyplněný!C8,"AAAAAH/Z7GU=")</f>
        <v>#VALUE!</v>
      </c>
      <c r="CY5" t="e">
        <f>AND(nepředvyplněný!D8,"AAAAAH/Z7GY=")</f>
        <v>#VALUE!</v>
      </c>
      <c r="CZ5" t="e">
        <f>AND(nepředvyplněný!E8,"AAAAAH/Z7Gc=")</f>
        <v>#VALUE!</v>
      </c>
      <c r="DA5" t="e">
        <f>AND(nepředvyplněný!F8,"AAAAAH/Z7Gg=")</f>
        <v>#VALUE!</v>
      </c>
      <c r="DB5" t="e">
        <f>AND(nepředvyplněný!G8,"AAAAAH/Z7Gk=")</f>
        <v>#VALUE!</v>
      </c>
      <c r="DC5" t="e">
        <f>AND(nepředvyplněný!H8,"AAAAAH/Z7Go=")</f>
        <v>#VALUE!</v>
      </c>
      <c r="DD5" t="e">
        <f>AND(nepředvyplněný!I8,"AAAAAH/Z7Gs=")</f>
        <v>#VALUE!</v>
      </c>
      <c r="DE5" t="e">
        <f>AND(nepředvyplněný!J8,"AAAAAH/Z7Gw=")</f>
        <v>#VALUE!</v>
      </c>
      <c r="DF5" t="e">
        <f>AND(nepředvyplněný!K8,"AAAAAH/Z7G0=")</f>
        <v>#VALUE!</v>
      </c>
      <c r="DG5" t="e">
        <f>AND(nepředvyplněný!L8,"AAAAAH/Z7G4=")</f>
        <v>#VALUE!</v>
      </c>
      <c r="DH5" t="e">
        <f>AND(nepředvyplněný!M8,"AAAAAH/Z7G8=")</f>
        <v>#VALUE!</v>
      </c>
      <c r="DI5" t="e">
        <f>AND(nepředvyplněný!N8,"AAAAAH/Z7HA=")</f>
        <v>#VALUE!</v>
      </c>
      <c r="DJ5" t="e">
        <f>AND(nepředvyplněný!O8,"AAAAAH/Z7HE=")</f>
        <v>#VALUE!</v>
      </c>
      <c r="DK5" t="e">
        <f>AND(nepředvyplněný!P8,"AAAAAH/Z7HI=")</f>
        <v>#VALUE!</v>
      </c>
      <c r="DL5" t="e">
        <f>AND(nepředvyplněný!Q8,"AAAAAH/Z7HM=")</f>
        <v>#VALUE!</v>
      </c>
      <c r="DM5" t="e">
        <f>AND(nepředvyplněný!R8,"AAAAAH/Z7HQ=")</f>
        <v>#VALUE!</v>
      </c>
      <c r="DN5" t="e">
        <f>AND(nepředvyplněný!S8,"AAAAAH/Z7HU=")</f>
        <v>#VALUE!</v>
      </c>
      <c r="DO5" s="60">
        <f>IF(nepředvyplněný!9:9,"AAAAAH/Z7HY=",0)</f>
        <v>0</v>
      </c>
      <c r="DP5" t="e">
        <f>AND(nepředvyplněný!A9,"AAAAAH/Z7Hc=")</f>
        <v>#VALUE!</v>
      </c>
      <c r="DQ5" t="e">
        <f>AND(nepředvyplněný!B9,"AAAAAH/Z7Hg=")</f>
        <v>#VALUE!</v>
      </c>
      <c r="DR5" t="e">
        <f>AND(nepředvyplněný!C9,"AAAAAH/Z7Hk=")</f>
        <v>#VALUE!</v>
      </c>
      <c r="DS5" t="e">
        <f>AND(nepředvyplněný!D9,"AAAAAH/Z7Ho=")</f>
        <v>#VALUE!</v>
      </c>
      <c r="DT5" t="e">
        <f>AND(nepředvyplněný!E9,"AAAAAH/Z7Hs=")</f>
        <v>#VALUE!</v>
      </c>
      <c r="DU5" t="e">
        <f>AND(nepředvyplněný!F9,"AAAAAH/Z7Hw=")</f>
        <v>#VALUE!</v>
      </c>
      <c r="DV5" t="e">
        <f>AND(nepředvyplněný!G9,"AAAAAH/Z7H0=")</f>
        <v>#VALUE!</v>
      </c>
      <c r="DW5" t="e">
        <f>AND(nepředvyplněný!H9,"AAAAAH/Z7H4=")</f>
        <v>#VALUE!</v>
      </c>
      <c r="DX5" t="e">
        <f>AND(nepředvyplněný!I9,"AAAAAH/Z7H8=")</f>
        <v>#VALUE!</v>
      </c>
      <c r="DY5" t="e">
        <f>AND(nepředvyplněný!J9,"AAAAAH/Z7IA=")</f>
        <v>#VALUE!</v>
      </c>
      <c r="DZ5" t="e">
        <f>AND(nepředvyplněný!K9,"AAAAAH/Z7IE=")</f>
        <v>#VALUE!</v>
      </c>
      <c r="EA5" t="e">
        <f>AND(nepředvyplněný!L9,"AAAAAH/Z7II=")</f>
        <v>#VALUE!</v>
      </c>
      <c r="EB5" t="e">
        <f>AND(nepředvyplněný!M9,"AAAAAH/Z7IM=")</f>
        <v>#VALUE!</v>
      </c>
      <c r="EC5" t="e">
        <f>AND(nepředvyplněný!N9,"AAAAAH/Z7IQ=")</f>
        <v>#VALUE!</v>
      </c>
      <c r="ED5" t="e">
        <f>AND(nepředvyplněný!O9,"AAAAAH/Z7IU=")</f>
        <v>#VALUE!</v>
      </c>
      <c r="EE5" t="e">
        <f>AND(nepředvyplněný!P9,"AAAAAH/Z7IY=")</f>
        <v>#VALUE!</v>
      </c>
      <c r="EF5" t="e">
        <f>AND(nepředvyplněný!Q9,"AAAAAH/Z7Ic=")</f>
        <v>#VALUE!</v>
      </c>
      <c r="EG5" t="e">
        <f>AND(nepředvyplněný!R9,"AAAAAH/Z7Ig=")</f>
        <v>#VALUE!</v>
      </c>
      <c r="EH5" t="e">
        <f>AND(nepředvyplněný!S9,"AAAAAH/Z7Ik=")</f>
        <v>#VALUE!</v>
      </c>
      <c r="EI5" s="60">
        <f>IF(nepředvyplněný!10:10,"AAAAAH/Z7Io=",0)</f>
        <v>0</v>
      </c>
      <c r="EJ5" t="e">
        <f>AND(nepředvyplněný!A10,"AAAAAH/Z7Is=")</f>
        <v>#VALUE!</v>
      </c>
      <c r="EK5" t="e">
        <f>AND(nepředvyplněný!B10,"AAAAAH/Z7Iw=")</f>
        <v>#VALUE!</v>
      </c>
      <c r="EL5" t="e">
        <f>AND(nepředvyplněný!C10,"AAAAAH/Z7I0=")</f>
        <v>#VALUE!</v>
      </c>
      <c r="EM5" t="e">
        <f>AND(nepředvyplněný!D10,"AAAAAH/Z7I4=")</f>
        <v>#VALUE!</v>
      </c>
      <c r="EN5" t="e">
        <f>AND(nepředvyplněný!E10,"AAAAAH/Z7I8=")</f>
        <v>#VALUE!</v>
      </c>
      <c r="EO5" t="e">
        <f>AND(nepředvyplněný!F10,"AAAAAH/Z7JA=")</f>
        <v>#VALUE!</v>
      </c>
      <c r="EP5" t="e">
        <f>AND(nepředvyplněný!G10,"AAAAAH/Z7JE=")</f>
        <v>#VALUE!</v>
      </c>
      <c r="EQ5" t="e">
        <f>AND(nepředvyplněný!H10,"AAAAAH/Z7JI=")</f>
        <v>#VALUE!</v>
      </c>
      <c r="ER5" t="e">
        <f>AND(nepředvyplněný!I10,"AAAAAH/Z7JM=")</f>
        <v>#VALUE!</v>
      </c>
      <c r="ES5" t="e">
        <f>AND(nepředvyplněný!J10,"AAAAAH/Z7JQ=")</f>
        <v>#VALUE!</v>
      </c>
      <c r="ET5" t="e">
        <f>AND(nepředvyplněný!K10,"AAAAAH/Z7JU=")</f>
        <v>#VALUE!</v>
      </c>
      <c r="EU5" t="e">
        <f>AND(nepředvyplněný!L10,"AAAAAH/Z7JY=")</f>
        <v>#VALUE!</v>
      </c>
      <c r="EV5" t="e">
        <f>AND(nepředvyplněný!M10,"AAAAAH/Z7Jc=")</f>
        <v>#VALUE!</v>
      </c>
      <c r="EW5" t="e">
        <f>AND(nepředvyplněný!N10,"AAAAAH/Z7Jg=")</f>
        <v>#VALUE!</v>
      </c>
      <c r="EX5" t="e">
        <f>AND(nepředvyplněný!O10,"AAAAAH/Z7Jk=")</f>
        <v>#VALUE!</v>
      </c>
      <c r="EY5" t="e">
        <f>AND(nepředvyplněný!P10,"AAAAAH/Z7Jo=")</f>
        <v>#VALUE!</v>
      </c>
      <c r="EZ5" t="e">
        <f>AND(nepředvyplněný!Q10,"AAAAAH/Z7Js=")</f>
        <v>#VALUE!</v>
      </c>
      <c r="FA5" t="e">
        <f>AND(nepředvyplněný!R10,"AAAAAH/Z7Jw=")</f>
        <v>#VALUE!</v>
      </c>
      <c r="FB5" t="e">
        <f>AND(nepředvyplněný!S10,"AAAAAH/Z7J0=")</f>
        <v>#VALUE!</v>
      </c>
      <c r="FC5" s="60">
        <f>IF(nepředvyplněný!11:11,"AAAAAH/Z7J4=",0)</f>
        <v>0</v>
      </c>
      <c r="FD5" t="e">
        <f>AND(nepředvyplněný!A11,"AAAAAH/Z7J8=")</f>
        <v>#VALUE!</v>
      </c>
      <c r="FE5" t="e">
        <f>AND(nepředvyplněný!B11,"AAAAAH/Z7KA=")</f>
        <v>#VALUE!</v>
      </c>
      <c r="FF5" t="e">
        <f>AND(nepředvyplněný!C11,"AAAAAH/Z7KE=")</f>
        <v>#VALUE!</v>
      </c>
      <c r="FG5" t="e">
        <f>AND(nepředvyplněný!D11,"AAAAAH/Z7KI=")</f>
        <v>#VALUE!</v>
      </c>
      <c r="FH5" t="e">
        <f>AND(nepředvyplněný!E11,"AAAAAH/Z7KM=")</f>
        <v>#VALUE!</v>
      </c>
      <c r="FI5" t="e">
        <f>AND(nepředvyplněný!F11,"AAAAAH/Z7KQ=")</f>
        <v>#VALUE!</v>
      </c>
      <c r="FJ5" t="e">
        <f>AND(nepředvyplněný!G11,"AAAAAH/Z7KU=")</f>
        <v>#VALUE!</v>
      </c>
      <c r="FK5" t="e">
        <f>AND(nepředvyplněný!H11,"AAAAAH/Z7KY=")</f>
        <v>#VALUE!</v>
      </c>
      <c r="FL5" t="e">
        <f>AND(nepředvyplněný!I11,"AAAAAH/Z7Kc=")</f>
        <v>#VALUE!</v>
      </c>
      <c r="FM5" t="e">
        <f>AND(nepředvyplněný!J11,"AAAAAH/Z7Kg=")</f>
        <v>#VALUE!</v>
      </c>
      <c r="FN5" t="e">
        <f>AND(nepředvyplněný!K11,"AAAAAH/Z7Kk=")</f>
        <v>#VALUE!</v>
      </c>
      <c r="FO5" t="e">
        <f>AND(nepředvyplněný!L11,"AAAAAH/Z7Ko=")</f>
        <v>#VALUE!</v>
      </c>
      <c r="FP5" t="e">
        <f>AND(nepředvyplněný!M11,"AAAAAH/Z7Ks=")</f>
        <v>#VALUE!</v>
      </c>
      <c r="FQ5" t="e">
        <f>AND(nepředvyplněný!N11,"AAAAAH/Z7Kw=")</f>
        <v>#VALUE!</v>
      </c>
      <c r="FR5" t="e">
        <f>AND(nepředvyplněný!O11,"AAAAAH/Z7K0=")</f>
        <v>#VALUE!</v>
      </c>
      <c r="FS5" t="e">
        <f>AND(nepředvyplněný!P11,"AAAAAH/Z7K4=")</f>
        <v>#VALUE!</v>
      </c>
      <c r="FT5" t="e">
        <f>AND(nepředvyplněný!Q11,"AAAAAH/Z7K8=")</f>
        <v>#VALUE!</v>
      </c>
      <c r="FU5" t="e">
        <f>AND(nepředvyplněný!R11,"AAAAAH/Z7LA=")</f>
        <v>#VALUE!</v>
      </c>
      <c r="FV5" t="e">
        <f>AND(nepředvyplněný!S11,"AAAAAH/Z7LE=")</f>
        <v>#VALUE!</v>
      </c>
      <c r="FW5" s="60">
        <f>IF(nepředvyplněný!12:12,"AAAAAH/Z7LI=",0)</f>
        <v>0</v>
      </c>
      <c r="FX5" t="e">
        <f>AND(nepředvyplněný!A12,"AAAAAH/Z7LM=")</f>
        <v>#VALUE!</v>
      </c>
      <c r="FY5" t="e">
        <f>AND(nepředvyplněný!B12,"AAAAAH/Z7LQ=")</f>
        <v>#VALUE!</v>
      </c>
      <c r="FZ5" t="e">
        <f>AND(nepředvyplněný!C12,"AAAAAH/Z7LU=")</f>
        <v>#VALUE!</v>
      </c>
      <c r="GA5" t="e">
        <f>AND(nepředvyplněný!D12,"AAAAAH/Z7LY=")</f>
        <v>#VALUE!</v>
      </c>
      <c r="GB5" t="e">
        <f>AND(nepředvyplněný!E12,"AAAAAH/Z7Lc=")</f>
        <v>#VALUE!</v>
      </c>
      <c r="GC5" t="e">
        <f>AND(nepředvyplněný!F12,"AAAAAH/Z7Lg=")</f>
        <v>#VALUE!</v>
      </c>
      <c r="GD5" t="e">
        <f>AND(nepředvyplněný!G12,"AAAAAH/Z7Lk=")</f>
        <v>#VALUE!</v>
      </c>
      <c r="GE5" t="e">
        <f>AND(nepředvyplněný!H12,"AAAAAH/Z7Lo=")</f>
        <v>#VALUE!</v>
      </c>
      <c r="GF5" t="e">
        <f>AND(nepředvyplněný!I12,"AAAAAH/Z7Ls=")</f>
        <v>#VALUE!</v>
      </c>
      <c r="GG5" t="e">
        <f>AND(nepředvyplněný!J12,"AAAAAH/Z7Lw=")</f>
        <v>#VALUE!</v>
      </c>
      <c r="GH5" t="e">
        <f>AND(nepředvyplněný!K12,"AAAAAH/Z7L0=")</f>
        <v>#VALUE!</v>
      </c>
      <c r="GI5" t="e">
        <f>AND(nepředvyplněný!L12,"AAAAAH/Z7L4=")</f>
        <v>#VALUE!</v>
      </c>
      <c r="GJ5" t="e">
        <f>AND(nepředvyplněný!M12,"AAAAAH/Z7L8=")</f>
        <v>#VALUE!</v>
      </c>
      <c r="GK5" t="e">
        <f>AND(nepředvyplněný!N12,"AAAAAH/Z7MA=")</f>
        <v>#VALUE!</v>
      </c>
      <c r="GL5" t="e">
        <f>AND(nepředvyplněný!O12,"AAAAAH/Z7ME=")</f>
        <v>#VALUE!</v>
      </c>
      <c r="GM5" t="e">
        <f>AND(nepředvyplněný!P12,"AAAAAH/Z7MI=")</f>
        <v>#VALUE!</v>
      </c>
      <c r="GN5" t="e">
        <f>AND(nepředvyplněný!Q12,"AAAAAH/Z7MM=")</f>
        <v>#VALUE!</v>
      </c>
      <c r="GO5" t="e">
        <f>AND(nepředvyplněný!R12,"AAAAAH/Z7MQ=")</f>
        <v>#VALUE!</v>
      </c>
      <c r="GP5" t="e">
        <f>AND(nepředvyplněný!S12,"AAAAAH/Z7MU=")</f>
        <v>#VALUE!</v>
      </c>
      <c r="GQ5" s="60">
        <f>IF(nepředvyplněný!13:13,"AAAAAH/Z7MY=",0)</f>
        <v>0</v>
      </c>
      <c r="GR5" t="e">
        <f>AND(nepředvyplněný!A13,"AAAAAH/Z7Mc=")</f>
        <v>#VALUE!</v>
      </c>
      <c r="GS5" t="e">
        <f>AND(nepředvyplněný!B13,"AAAAAH/Z7Mg=")</f>
        <v>#VALUE!</v>
      </c>
      <c r="GT5" t="e">
        <f>AND(nepředvyplněný!C13,"AAAAAH/Z7Mk=")</f>
        <v>#VALUE!</v>
      </c>
      <c r="GU5" t="e">
        <f>AND(nepředvyplněný!D13,"AAAAAH/Z7Mo=")</f>
        <v>#VALUE!</v>
      </c>
      <c r="GV5" t="e">
        <f>AND(nepředvyplněný!E13,"AAAAAH/Z7Ms=")</f>
        <v>#VALUE!</v>
      </c>
      <c r="GW5" t="e">
        <f>AND(nepředvyplněný!F13,"AAAAAH/Z7Mw=")</f>
        <v>#VALUE!</v>
      </c>
      <c r="GX5" t="e">
        <f>AND(nepředvyplněný!G13,"AAAAAH/Z7M0=")</f>
        <v>#VALUE!</v>
      </c>
      <c r="GY5" t="e">
        <f>AND(nepředvyplněný!H13,"AAAAAH/Z7M4=")</f>
        <v>#VALUE!</v>
      </c>
      <c r="GZ5" t="e">
        <f>AND(nepředvyplněný!I13,"AAAAAH/Z7M8=")</f>
        <v>#VALUE!</v>
      </c>
      <c r="HA5" t="e">
        <f>AND(nepředvyplněný!J13,"AAAAAH/Z7NA=")</f>
        <v>#VALUE!</v>
      </c>
      <c r="HB5" t="e">
        <f>AND(nepředvyplněný!K13,"AAAAAH/Z7NE=")</f>
        <v>#VALUE!</v>
      </c>
      <c r="HC5" t="e">
        <f>AND(nepředvyplněný!L13,"AAAAAH/Z7NI=")</f>
        <v>#VALUE!</v>
      </c>
      <c r="HD5" t="e">
        <f>AND(nepředvyplněný!M13,"AAAAAH/Z7NM=")</f>
        <v>#VALUE!</v>
      </c>
      <c r="HE5" t="e">
        <f>AND(nepředvyplněný!N13,"AAAAAH/Z7NQ=")</f>
        <v>#VALUE!</v>
      </c>
      <c r="HF5" t="e">
        <f>AND(nepředvyplněný!O13,"AAAAAH/Z7NU=")</f>
        <v>#VALUE!</v>
      </c>
      <c r="HG5" t="e">
        <f>AND(nepředvyplněný!P13,"AAAAAH/Z7NY=")</f>
        <v>#VALUE!</v>
      </c>
      <c r="HH5" t="e">
        <f>AND(nepředvyplněný!Q13,"AAAAAH/Z7Nc=")</f>
        <v>#VALUE!</v>
      </c>
      <c r="HI5" t="e">
        <f>AND(nepředvyplněný!R13,"AAAAAH/Z7Ng=")</f>
        <v>#VALUE!</v>
      </c>
      <c r="HJ5" t="e">
        <f>AND(nepředvyplněný!S13,"AAAAAH/Z7Nk=")</f>
        <v>#VALUE!</v>
      </c>
      <c r="HK5" s="60">
        <f>IF(nepředvyplněný!14:14,"AAAAAH/Z7No=",0)</f>
        <v>0</v>
      </c>
      <c r="HL5" t="e">
        <f>AND(nepředvyplněný!A14,"AAAAAH/Z7Ns=")</f>
        <v>#VALUE!</v>
      </c>
      <c r="HM5" t="e">
        <f>AND(nepředvyplněný!B14,"AAAAAH/Z7Nw=")</f>
        <v>#VALUE!</v>
      </c>
      <c r="HN5" t="e">
        <f>AND(nepředvyplněný!C14,"AAAAAH/Z7N0=")</f>
        <v>#VALUE!</v>
      </c>
      <c r="HO5" t="e">
        <f>AND(nepředvyplněný!D14,"AAAAAH/Z7N4=")</f>
        <v>#VALUE!</v>
      </c>
      <c r="HP5" t="e">
        <f>AND(nepředvyplněný!E14,"AAAAAH/Z7N8=")</f>
        <v>#VALUE!</v>
      </c>
      <c r="HQ5" t="e">
        <f>AND(nepředvyplněný!F14,"AAAAAH/Z7OA=")</f>
        <v>#VALUE!</v>
      </c>
      <c r="HR5" t="e">
        <f>AND(nepředvyplněný!G14,"AAAAAH/Z7OE=")</f>
        <v>#VALUE!</v>
      </c>
      <c r="HS5" t="e">
        <f>AND(nepředvyplněný!H14,"AAAAAH/Z7OI=")</f>
        <v>#VALUE!</v>
      </c>
      <c r="HT5" t="e">
        <f>AND(nepředvyplněný!I14,"AAAAAH/Z7OM=")</f>
        <v>#VALUE!</v>
      </c>
      <c r="HU5" t="e">
        <f>AND(nepředvyplněný!J14,"AAAAAH/Z7OQ=")</f>
        <v>#VALUE!</v>
      </c>
      <c r="HV5" t="e">
        <f>AND(nepředvyplněný!K14,"AAAAAH/Z7OU=")</f>
        <v>#VALUE!</v>
      </c>
      <c r="HW5" t="e">
        <f>AND(nepředvyplněný!L14,"AAAAAH/Z7OY=")</f>
        <v>#VALUE!</v>
      </c>
      <c r="HX5" t="e">
        <f>AND(nepředvyplněný!M14,"AAAAAH/Z7Oc=")</f>
        <v>#VALUE!</v>
      </c>
      <c r="HY5" t="e">
        <f>AND(nepředvyplněný!N14,"AAAAAH/Z7Og=")</f>
        <v>#VALUE!</v>
      </c>
      <c r="HZ5" t="e">
        <f>AND(nepředvyplněný!O14,"AAAAAH/Z7Ok=")</f>
        <v>#VALUE!</v>
      </c>
      <c r="IA5" t="e">
        <f>AND(nepředvyplněný!P14,"AAAAAH/Z7Oo=")</f>
        <v>#VALUE!</v>
      </c>
      <c r="IB5" t="e">
        <f>AND(nepředvyplněný!Q14,"AAAAAH/Z7Os=")</f>
        <v>#VALUE!</v>
      </c>
      <c r="IC5" t="e">
        <f>AND(nepředvyplněný!R14,"AAAAAH/Z7Ow=")</f>
        <v>#VALUE!</v>
      </c>
      <c r="ID5" t="e">
        <f>AND(nepředvyplněný!S14,"AAAAAH/Z7O0=")</f>
        <v>#VALUE!</v>
      </c>
      <c r="IE5" s="60">
        <f>IF(nepředvyplněný!15:15,"AAAAAH/Z7O4=",0)</f>
        <v>0</v>
      </c>
      <c r="IF5" t="e">
        <f>AND(nepředvyplněný!A15,"AAAAAH/Z7O8=")</f>
        <v>#VALUE!</v>
      </c>
      <c r="IG5" t="e">
        <f>AND(nepředvyplněný!B15,"AAAAAH/Z7PA=")</f>
        <v>#VALUE!</v>
      </c>
      <c r="IH5" t="e">
        <f>AND(nepředvyplněný!C15,"AAAAAH/Z7PE=")</f>
        <v>#VALUE!</v>
      </c>
      <c r="II5" t="e">
        <f>AND(nepředvyplněný!D15,"AAAAAH/Z7PI=")</f>
        <v>#VALUE!</v>
      </c>
      <c r="IJ5" t="e">
        <f>AND(nepředvyplněný!E15,"AAAAAH/Z7PM=")</f>
        <v>#VALUE!</v>
      </c>
      <c r="IK5" t="e">
        <f>AND(nepředvyplněný!F15,"AAAAAH/Z7PQ=")</f>
        <v>#VALUE!</v>
      </c>
      <c r="IL5" t="e">
        <f>AND(nepředvyplněný!G15,"AAAAAH/Z7PU=")</f>
        <v>#VALUE!</v>
      </c>
      <c r="IM5" t="e">
        <f>AND(nepředvyplněný!H15,"AAAAAH/Z7PY=")</f>
        <v>#VALUE!</v>
      </c>
      <c r="IN5" t="e">
        <f>AND(nepředvyplněný!I15,"AAAAAH/Z7Pc=")</f>
        <v>#VALUE!</v>
      </c>
      <c r="IO5" t="e">
        <f>AND(nepředvyplněný!J15,"AAAAAH/Z7Pg=")</f>
        <v>#VALUE!</v>
      </c>
      <c r="IP5" t="e">
        <f>AND(nepředvyplněný!K15,"AAAAAH/Z7Pk=")</f>
        <v>#VALUE!</v>
      </c>
      <c r="IQ5" t="e">
        <f>AND(nepředvyplněný!L15,"AAAAAH/Z7Po=")</f>
        <v>#VALUE!</v>
      </c>
      <c r="IR5" t="e">
        <f>AND(nepředvyplněný!M15,"AAAAAH/Z7Ps=")</f>
        <v>#VALUE!</v>
      </c>
      <c r="IS5" t="e">
        <f>AND(nepředvyplněný!N15,"AAAAAH/Z7Pw=")</f>
        <v>#VALUE!</v>
      </c>
      <c r="IT5" t="e">
        <f>AND(nepředvyplněný!O15,"AAAAAH/Z7P0=")</f>
        <v>#VALUE!</v>
      </c>
      <c r="IU5" t="e">
        <f>AND(nepředvyplněný!P15,"AAAAAH/Z7P4=")</f>
        <v>#VALUE!</v>
      </c>
      <c r="IV5" t="e">
        <f>AND(nepředvyplněný!Q15,"AAAAAH/Z7P8=")</f>
        <v>#VALUE!</v>
      </c>
    </row>
    <row r="6" spans="1:256">
      <c r="A6" t="e">
        <f>AND(nepředvyplněný!R15,"AAAAAC8v/wA=")</f>
        <v>#VALUE!</v>
      </c>
      <c r="B6" t="e">
        <f>AND(nepředvyplněný!S15,"AAAAAC8v/wE=")</f>
        <v>#VALUE!</v>
      </c>
      <c r="C6" s="60">
        <f>IF(nepředvyplněný!16:16,"AAAAAC8v/wI=",0)</f>
        <v>0</v>
      </c>
      <c r="D6" t="e">
        <f>AND(nepředvyplněný!A16,"AAAAAC8v/wM=")</f>
        <v>#VALUE!</v>
      </c>
      <c r="E6" t="e">
        <f>AND(nepředvyplněný!B16,"AAAAAC8v/wQ=")</f>
        <v>#VALUE!</v>
      </c>
      <c r="F6" t="e">
        <f>AND(nepředvyplněný!C16,"AAAAAC8v/wU=")</f>
        <v>#VALUE!</v>
      </c>
      <c r="G6" t="e">
        <f>AND(nepředvyplněný!D16,"AAAAAC8v/wY=")</f>
        <v>#VALUE!</v>
      </c>
      <c r="H6" t="e">
        <f>AND(nepředvyplněný!E16,"AAAAAC8v/wc=")</f>
        <v>#VALUE!</v>
      </c>
      <c r="I6" t="e">
        <f>AND(nepředvyplněný!F16,"AAAAAC8v/wg=")</f>
        <v>#VALUE!</v>
      </c>
      <c r="J6" t="e">
        <f>AND(nepředvyplněný!G16,"AAAAAC8v/wk=")</f>
        <v>#VALUE!</v>
      </c>
      <c r="K6" t="e">
        <f>AND(nepředvyplněný!H16,"AAAAAC8v/wo=")</f>
        <v>#VALUE!</v>
      </c>
      <c r="L6" t="e">
        <f>AND(nepředvyplněný!I16,"AAAAAC8v/ws=")</f>
        <v>#VALUE!</v>
      </c>
      <c r="M6" t="e">
        <f>AND(nepředvyplněný!J16,"AAAAAC8v/ww=")</f>
        <v>#VALUE!</v>
      </c>
      <c r="N6" t="e">
        <f>AND(nepředvyplněný!K16,"AAAAAC8v/w0=")</f>
        <v>#VALUE!</v>
      </c>
      <c r="O6" t="e">
        <f>AND(nepředvyplněný!L16,"AAAAAC8v/w4=")</f>
        <v>#VALUE!</v>
      </c>
      <c r="P6" t="e">
        <f>AND(nepředvyplněný!M16,"AAAAAC8v/w8=")</f>
        <v>#VALUE!</v>
      </c>
      <c r="Q6" t="e">
        <f>AND(nepředvyplněný!N16,"AAAAAC8v/xA=")</f>
        <v>#VALUE!</v>
      </c>
      <c r="R6" t="e">
        <f>AND(nepředvyplněný!O16,"AAAAAC8v/xE=")</f>
        <v>#VALUE!</v>
      </c>
      <c r="S6" t="e">
        <f>AND(nepředvyplněný!P16,"AAAAAC8v/xI=")</f>
        <v>#VALUE!</v>
      </c>
      <c r="T6" t="e">
        <f>AND(nepředvyplněný!Q16,"AAAAAC8v/xM=")</f>
        <v>#VALUE!</v>
      </c>
      <c r="U6" t="e">
        <f>AND(nepředvyplněný!R16,"AAAAAC8v/xQ=")</f>
        <v>#VALUE!</v>
      </c>
      <c r="V6" t="e">
        <f>AND(nepředvyplněný!S16,"AAAAAC8v/xU=")</f>
        <v>#VALUE!</v>
      </c>
      <c r="W6" s="60">
        <f>IF(nepředvyplněný!17:17,"AAAAAC8v/xY=",0)</f>
        <v>0</v>
      </c>
      <c r="X6" t="e">
        <f>AND(nepředvyplněný!A17,"AAAAAC8v/xc=")</f>
        <v>#VALUE!</v>
      </c>
      <c r="Y6" t="e">
        <f>AND(nepředvyplněný!B17,"AAAAAC8v/xg=")</f>
        <v>#VALUE!</v>
      </c>
      <c r="Z6" t="e">
        <f>AND(nepředvyplněný!C17,"AAAAAC8v/xk=")</f>
        <v>#VALUE!</v>
      </c>
      <c r="AA6" t="e">
        <f>AND(nepředvyplněný!D17,"AAAAAC8v/xo=")</f>
        <v>#VALUE!</v>
      </c>
      <c r="AB6" t="e">
        <f>AND(nepředvyplněný!E17,"AAAAAC8v/xs=")</f>
        <v>#VALUE!</v>
      </c>
      <c r="AC6" t="e">
        <f>AND(nepředvyplněný!F17,"AAAAAC8v/xw=")</f>
        <v>#VALUE!</v>
      </c>
      <c r="AD6" t="e">
        <f>AND(nepředvyplněný!G17,"AAAAAC8v/x0=")</f>
        <v>#VALUE!</v>
      </c>
      <c r="AE6" t="e">
        <f>AND(nepředvyplněný!H17,"AAAAAC8v/x4=")</f>
        <v>#VALUE!</v>
      </c>
      <c r="AF6" t="e">
        <f>AND(nepředvyplněný!I17,"AAAAAC8v/x8=")</f>
        <v>#VALUE!</v>
      </c>
      <c r="AG6" t="e">
        <f>AND(nepředvyplněný!J17,"AAAAAC8v/yA=")</f>
        <v>#VALUE!</v>
      </c>
      <c r="AH6" t="e">
        <f>AND(nepředvyplněný!K17,"AAAAAC8v/yE=")</f>
        <v>#VALUE!</v>
      </c>
      <c r="AI6" t="e">
        <f>AND(nepředvyplněný!L17,"AAAAAC8v/yI=")</f>
        <v>#VALUE!</v>
      </c>
      <c r="AJ6" t="e">
        <f>AND(nepředvyplněný!M17,"AAAAAC8v/yM=")</f>
        <v>#VALUE!</v>
      </c>
      <c r="AK6" t="e">
        <f>AND(nepředvyplněný!N17,"AAAAAC8v/yQ=")</f>
        <v>#VALUE!</v>
      </c>
      <c r="AL6" t="e">
        <f>AND(nepředvyplněný!O17,"AAAAAC8v/yU=")</f>
        <v>#VALUE!</v>
      </c>
      <c r="AM6" t="e">
        <f>AND(nepředvyplněný!P17,"AAAAAC8v/yY=")</f>
        <v>#VALUE!</v>
      </c>
      <c r="AN6" t="e">
        <f>AND(nepředvyplněný!Q17,"AAAAAC8v/yc=")</f>
        <v>#VALUE!</v>
      </c>
      <c r="AO6" t="e">
        <f>AND(nepředvyplněný!R17,"AAAAAC8v/yg=")</f>
        <v>#VALUE!</v>
      </c>
      <c r="AP6" t="e">
        <f>AND(nepředvyplněný!S17,"AAAAAC8v/yk=")</f>
        <v>#VALUE!</v>
      </c>
      <c r="AQ6" s="60">
        <f>IF(nepředvyplněný!18:18,"AAAAAC8v/yo=",0)</f>
        <v>0</v>
      </c>
      <c r="AR6" t="e">
        <f>AND(nepředvyplněný!A18,"AAAAAC8v/ys=")</f>
        <v>#VALUE!</v>
      </c>
      <c r="AS6" t="e">
        <f>AND(nepředvyplněný!B18,"AAAAAC8v/yw=")</f>
        <v>#VALUE!</v>
      </c>
      <c r="AT6" t="e">
        <f>AND(nepředvyplněný!C18,"AAAAAC8v/y0=")</f>
        <v>#VALUE!</v>
      </c>
      <c r="AU6" t="e">
        <f>AND(nepředvyplněný!D18,"AAAAAC8v/y4=")</f>
        <v>#VALUE!</v>
      </c>
      <c r="AV6" t="e">
        <f>AND(nepředvyplněný!E18,"AAAAAC8v/y8=")</f>
        <v>#VALUE!</v>
      </c>
      <c r="AW6" t="e">
        <f>AND(nepředvyplněný!F18,"AAAAAC8v/zA=")</f>
        <v>#VALUE!</v>
      </c>
      <c r="AX6" t="e">
        <f>AND(nepředvyplněný!G18,"AAAAAC8v/zE=")</f>
        <v>#VALUE!</v>
      </c>
      <c r="AY6" t="e">
        <f>AND(nepředvyplněný!H18,"AAAAAC8v/zI=")</f>
        <v>#VALUE!</v>
      </c>
      <c r="AZ6" t="e">
        <f>AND(nepředvyplněný!I18,"AAAAAC8v/zM=")</f>
        <v>#VALUE!</v>
      </c>
      <c r="BA6" t="e">
        <f>AND(nepředvyplněný!J18,"AAAAAC8v/zQ=")</f>
        <v>#VALUE!</v>
      </c>
      <c r="BB6" t="e">
        <f>AND(nepředvyplněný!K18,"AAAAAC8v/zU=")</f>
        <v>#VALUE!</v>
      </c>
      <c r="BC6" t="e">
        <f>AND(nepředvyplněný!L18,"AAAAAC8v/zY=")</f>
        <v>#VALUE!</v>
      </c>
      <c r="BD6" t="e">
        <f>AND(nepředvyplněný!M18,"AAAAAC8v/zc=")</f>
        <v>#VALUE!</v>
      </c>
      <c r="BE6" t="e">
        <f>AND(nepředvyplněný!N18,"AAAAAC8v/zg=")</f>
        <v>#VALUE!</v>
      </c>
      <c r="BF6" t="e">
        <f>AND(nepředvyplněný!O18,"AAAAAC8v/zk=")</f>
        <v>#VALUE!</v>
      </c>
      <c r="BG6" t="e">
        <f>AND(nepředvyplněný!P18,"AAAAAC8v/zo=")</f>
        <v>#VALUE!</v>
      </c>
      <c r="BH6" t="e">
        <f>AND(nepředvyplněný!Q18,"AAAAAC8v/zs=")</f>
        <v>#VALUE!</v>
      </c>
      <c r="BI6" t="e">
        <f>AND(nepředvyplněný!R18,"AAAAAC8v/zw=")</f>
        <v>#VALUE!</v>
      </c>
      <c r="BJ6" t="e">
        <f>AND(nepředvyplněný!S18,"AAAAAC8v/z0=")</f>
        <v>#VALUE!</v>
      </c>
      <c r="BK6" s="60">
        <f>IF(nepředvyplněný!19:19,"AAAAAC8v/z4=",0)</f>
        <v>0</v>
      </c>
      <c r="BL6" t="e">
        <f>AND(nepředvyplněný!A19,"AAAAAC8v/z8=")</f>
        <v>#VALUE!</v>
      </c>
      <c r="BM6" t="e">
        <f>AND(nepředvyplněný!B19,"AAAAAC8v/0A=")</f>
        <v>#VALUE!</v>
      </c>
      <c r="BN6" t="e">
        <f>AND(nepředvyplněný!C19,"AAAAAC8v/0E=")</f>
        <v>#VALUE!</v>
      </c>
      <c r="BO6" t="e">
        <f>AND(nepředvyplněný!D19,"AAAAAC8v/0I=")</f>
        <v>#VALUE!</v>
      </c>
      <c r="BP6" t="e">
        <f>AND(nepředvyplněný!E19,"AAAAAC8v/0M=")</f>
        <v>#VALUE!</v>
      </c>
      <c r="BQ6" t="e">
        <f>AND(nepředvyplněný!F19,"AAAAAC8v/0Q=")</f>
        <v>#VALUE!</v>
      </c>
      <c r="BR6" t="e">
        <f>AND(nepředvyplněný!G19,"AAAAAC8v/0U=")</f>
        <v>#VALUE!</v>
      </c>
      <c r="BS6" t="e">
        <f>AND(nepředvyplněný!H19,"AAAAAC8v/0Y=")</f>
        <v>#VALUE!</v>
      </c>
      <c r="BT6" t="e">
        <f>AND(nepředvyplněný!I19,"AAAAAC8v/0c=")</f>
        <v>#VALUE!</v>
      </c>
      <c r="BU6" t="e">
        <f>AND(nepředvyplněný!J19,"AAAAAC8v/0g=")</f>
        <v>#VALUE!</v>
      </c>
      <c r="BV6" t="e">
        <f>AND(nepředvyplněný!K19,"AAAAAC8v/0k=")</f>
        <v>#VALUE!</v>
      </c>
      <c r="BW6" t="e">
        <f>AND(nepředvyplněný!L19,"AAAAAC8v/0o=")</f>
        <v>#VALUE!</v>
      </c>
      <c r="BX6" t="e">
        <f>AND(nepředvyplněný!M19,"AAAAAC8v/0s=")</f>
        <v>#VALUE!</v>
      </c>
      <c r="BY6" t="e">
        <f>AND(nepředvyplněný!N19,"AAAAAC8v/0w=")</f>
        <v>#VALUE!</v>
      </c>
      <c r="BZ6" t="e">
        <f>AND(nepředvyplněný!O19,"AAAAAC8v/00=")</f>
        <v>#VALUE!</v>
      </c>
      <c r="CA6" t="e">
        <f>AND(nepředvyplněný!P19,"AAAAAC8v/04=")</f>
        <v>#VALUE!</v>
      </c>
      <c r="CB6" t="e">
        <f>AND(nepředvyplněný!Q19,"AAAAAC8v/08=")</f>
        <v>#VALUE!</v>
      </c>
      <c r="CC6" t="e">
        <f>AND(nepředvyplněný!R19,"AAAAAC8v/1A=")</f>
        <v>#VALUE!</v>
      </c>
      <c r="CD6" t="e">
        <f>AND(nepředvyplněný!S19,"AAAAAC8v/1E=")</f>
        <v>#VALUE!</v>
      </c>
      <c r="CE6" s="60">
        <f>IF(nepředvyplněný!20:20,"AAAAAC8v/1I=",0)</f>
        <v>0</v>
      </c>
      <c r="CF6" t="e">
        <f>AND(nepředvyplněný!A20,"AAAAAC8v/1M=")</f>
        <v>#VALUE!</v>
      </c>
      <c r="CG6" t="e">
        <f>AND(nepředvyplněný!B20,"AAAAAC8v/1Q=")</f>
        <v>#VALUE!</v>
      </c>
      <c r="CH6" t="e">
        <f>AND(nepředvyplněný!C20,"AAAAAC8v/1U=")</f>
        <v>#VALUE!</v>
      </c>
      <c r="CI6" t="e">
        <f>AND(nepředvyplněný!D20,"AAAAAC8v/1Y=")</f>
        <v>#VALUE!</v>
      </c>
      <c r="CJ6" t="e">
        <f>AND(nepředvyplněný!E20,"AAAAAC8v/1c=")</f>
        <v>#VALUE!</v>
      </c>
      <c r="CK6" t="e">
        <f>AND(nepředvyplněný!F20,"AAAAAC8v/1g=")</f>
        <v>#VALUE!</v>
      </c>
      <c r="CL6" t="e">
        <f>AND(nepředvyplněný!G20,"AAAAAC8v/1k=")</f>
        <v>#VALUE!</v>
      </c>
      <c r="CM6" t="e">
        <f>AND(nepředvyplněný!H20,"AAAAAC8v/1o=")</f>
        <v>#VALUE!</v>
      </c>
      <c r="CN6" t="e">
        <f>AND(nepředvyplněný!I20,"AAAAAC8v/1s=")</f>
        <v>#VALUE!</v>
      </c>
      <c r="CO6" t="e">
        <f>AND(nepředvyplněný!J20,"AAAAAC8v/1w=")</f>
        <v>#VALUE!</v>
      </c>
      <c r="CP6" t="e">
        <f>AND(nepředvyplněný!K20,"AAAAAC8v/10=")</f>
        <v>#VALUE!</v>
      </c>
      <c r="CQ6" t="e">
        <f>AND(nepředvyplněný!L20,"AAAAAC8v/14=")</f>
        <v>#VALUE!</v>
      </c>
      <c r="CR6" t="e">
        <f>AND(nepředvyplněný!M20,"AAAAAC8v/18=")</f>
        <v>#VALUE!</v>
      </c>
      <c r="CS6" t="e">
        <f>AND(nepředvyplněný!N20,"AAAAAC8v/2A=")</f>
        <v>#VALUE!</v>
      </c>
      <c r="CT6" t="e">
        <f>AND(nepředvyplněný!O20,"AAAAAC8v/2E=")</f>
        <v>#VALUE!</v>
      </c>
      <c r="CU6" t="e">
        <f>AND(nepředvyplněný!P20,"AAAAAC8v/2I=")</f>
        <v>#VALUE!</v>
      </c>
      <c r="CV6" t="e">
        <f>AND(nepředvyplněný!Q20,"AAAAAC8v/2M=")</f>
        <v>#VALUE!</v>
      </c>
      <c r="CW6" t="e">
        <f>AND(nepředvyplněný!R20,"AAAAAC8v/2Q=")</f>
        <v>#VALUE!</v>
      </c>
      <c r="CX6" t="e">
        <f>AND(nepředvyplněný!S20,"AAAAAC8v/2U=")</f>
        <v>#VALUE!</v>
      </c>
      <c r="CY6" s="60">
        <f>IF(nepředvyplněný!21:21,"AAAAAC8v/2Y=",0)</f>
        <v>0</v>
      </c>
      <c r="CZ6" t="e">
        <f>AND(nepředvyplněný!A21,"AAAAAC8v/2c=")</f>
        <v>#VALUE!</v>
      </c>
      <c r="DA6" t="e">
        <f>AND(nepředvyplněný!B21,"AAAAAC8v/2g=")</f>
        <v>#VALUE!</v>
      </c>
      <c r="DB6" t="e">
        <f>AND(nepředvyplněný!C21,"AAAAAC8v/2k=")</f>
        <v>#VALUE!</v>
      </c>
      <c r="DC6" t="e">
        <f>AND(nepředvyplněný!D21,"AAAAAC8v/2o=")</f>
        <v>#VALUE!</v>
      </c>
      <c r="DD6" t="e">
        <f>AND(nepředvyplněný!E21,"AAAAAC8v/2s=")</f>
        <v>#VALUE!</v>
      </c>
      <c r="DE6" t="e">
        <f>AND(nepředvyplněný!F21,"AAAAAC8v/2w=")</f>
        <v>#VALUE!</v>
      </c>
      <c r="DF6" t="e">
        <f>AND(nepředvyplněný!G21,"AAAAAC8v/20=")</f>
        <v>#VALUE!</v>
      </c>
      <c r="DG6" t="e">
        <f>AND(nepředvyplněný!H21,"AAAAAC8v/24=")</f>
        <v>#VALUE!</v>
      </c>
      <c r="DH6" t="e">
        <f>AND(nepředvyplněný!I21,"AAAAAC8v/28=")</f>
        <v>#VALUE!</v>
      </c>
      <c r="DI6" t="e">
        <f>AND(nepředvyplněný!J21,"AAAAAC8v/3A=")</f>
        <v>#VALUE!</v>
      </c>
      <c r="DJ6" t="e">
        <f>AND(nepředvyplněný!K21,"AAAAAC8v/3E=")</f>
        <v>#VALUE!</v>
      </c>
      <c r="DK6" t="e">
        <f>AND(nepředvyplněný!L21,"AAAAAC8v/3I=")</f>
        <v>#VALUE!</v>
      </c>
      <c r="DL6" t="e">
        <f>AND(nepředvyplněný!M21,"AAAAAC8v/3M=")</f>
        <v>#VALUE!</v>
      </c>
      <c r="DM6" t="e">
        <f>AND(nepředvyplněný!N21,"AAAAAC8v/3Q=")</f>
        <v>#VALUE!</v>
      </c>
      <c r="DN6" t="e">
        <f>AND(nepředvyplněný!O21,"AAAAAC8v/3U=")</f>
        <v>#VALUE!</v>
      </c>
      <c r="DO6" t="e">
        <f>AND(nepředvyplněný!P21,"AAAAAC8v/3Y=")</f>
        <v>#VALUE!</v>
      </c>
      <c r="DP6" t="e">
        <f>AND(nepředvyplněný!Q21,"AAAAAC8v/3c=")</f>
        <v>#VALUE!</v>
      </c>
      <c r="DQ6" t="e">
        <f>AND(nepředvyplněný!R21,"AAAAAC8v/3g=")</f>
        <v>#VALUE!</v>
      </c>
      <c r="DR6" t="e">
        <f>AND(nepředvyplněný!S21,"AAAAAC8v/3k=")</f>
        <v>#VALUE!</v>
      </c>
      <c r="DS6" s="60">
        <f>IF(nepředvyplněný!22:22,"AAAAAC8v/3o=",0)</f>
        <v>0</v>
      </c>
      <c r="DT6" t="e">
        <f>AND(nepředvyplněný!A22,"AAAAAC8v/3s=")</f>
        <v>#VALUE!</v>
      </c>
      <c r="DU6" t="e">
        <f>AND(nepředvyplněný!B22,"AAAAAC8v/3w=")</f>
        <v>#VALUE!</v>
      </c>
      <c r="DV6" t="e">
        <f>AND(nepředvyplněný!C22,"AAAAAC8v/30=")</f>
        <v>#VALUE!</v>
      </c>
      <c r="DW6" t="e">
        <f>AND(nepředvyplněný!D22,"AAAAAC8v/34=")</f>
        <v>#VALUE!</v>
      </c>
      <c r="DX6" t="e">
        <f>AND(nepředvyplněný!E22,"AAAAAC8v/38=")</f>
        <v>#VALUE!</v>
      </c>
      <c r="DY6" t="e">
        <f>AND(nepředvyplněný!F22,"AAAAAC8v/4A=")</f>
        <v>#VALUE!</v>
      </c>
      <c r="DZ6" t="e">
        <f>AND(nepředvyplněný!G22,"AAAAAC8v/4E=")</f>
        <v>#VALUE!</v>
      </c>
      <c r="EA6" t="e">
        <f>AND(nepředvyplněný!H22,"AAAAAC8v/4I=")</f>
        <v>#VALUE!</v>
      </c>
      <c r="EB6" t="e">
        <f>AND(nepředvyplněný!I22,"AAAAAC8v/4M=")</f>
        <v>#VALUE!</v>
      </c>
      <c r="EC6" t="e">
        <f>AND(nepředvyplněný!J22,"AAAAAC8v/4Q=")</f>
        <v>#VALUE!</v>
      </c>
      <c r="ED6" t="e">
        <f>AND(nepředvyplněný!K22,"AAAAAC8v/4U=")</f>
        <v>#VALUE!</v>
      </c>
      <c r="EE6" t="e">
        <f>AND(nepředvyplněný!L22,"AAAAAC8v/4Y=")</f>
        <v>#VALUE!</v>
      </c>
      <c r="EF6" t="e">
        <f>AND(nepředvyplněný!M22,"AAAAAC8v/4c=")</f>
        <v>#VALUE!</v>
      </c>
      <c r="EG6" t="e">
        <f>AND(nepředvyplněný!N22,"AAAAAC8v/4g=")</f>
        <v>#VALUE!</v>
      </c>
      <c r="EH6" t="e">
        <f>AND(nepředvyplněný!O22,"AAAAAC8v/4k=")</f>
        <v>#VALUE!</v>
      </c>
      <c r="EI6" t="e">
        <f>AND(nepředvyplněný!P22,"AAAAAC8v/4o=")</f>
        <v>#VALUE!</v>
      </c>
      <c r="EJ6" t="e">
        <f>AND(nepředvyplněný!Q22,"AAAAAC8v/4s=")</f>
        <v>#VALUE!</v>
      </c>
      <c r="EK6" t="e">
        <f>AND(nepředvyplněný!R22,"AAAAAC8v/4w=")</f>
        <v>#VALUE!</v>
      </c>
      <c r="EL6" t="e">
        <f>AND(nepředvyplněný!S22,"AAAAAC8v/40=")</f>
        <v>#VALUE!</v>
      </c>
      <c r="EM6" s="60">
        <f>IF(nepředvyplněný!23:23,"AAAAAC8v/44=",0)</f>
        <v>0</v>
      </c>
      <c r="EN6" t="e">
        <f>AND(nepředvyplněný!A23,"AAAAAC8v/48=")</f>
        <v>#VALUE!</v>
      </c>
      <c r="EO6" t="e">
        <f>AND(nepředvyplněný!B23,"AAAAAC8v/5A=")</f>
        <v>#VALUE!</v>
      </c>
      <c r="EP6" t="e">
        <f>AND(nepředvyplněný!C23,"AAAAAC8v/5E=")</f>
        <v>#VALUE!</v>
      </c>
      <c r="EQ6" t="e">
        <f>AND(nepředvyplněný!D23,"AAAAAC8v/5I=")</f>
        <v>#VALUE!</v>
      </c>
      <c r="ER6" t="e">
        <f>AND(nepředvyplněný!E23,"AAAAAC8v/5M=")</f>
        <v>#VALUE!</v>
      </c>
      <c r="ES6" t="e">
        <f>AND(nepředvyplněný!F23,"AAAAAC8v/5Q=")</f>
        <v>#VALUE!</v>
      </c>
      <c r="ET6" t="e">
        <f>AND(nepředvyplněný!G23,"AAAAAC8v/5U=")</f>
        <v>#VALUE!</v>
      </c>
      <c r="EU6" t="e">
        <f>AND(nepředvyplněný!H23,"AAAAAC8v/5Y=")</f>
        <v>#VALUE!</v>
      </c>
      <c r="EV6" t="e">
        <f>AND(nepředvyplněný!I23,"AAAAAC8v/5c=")</f>
        <v>#VALUE!</v>
      </c>
      <c r="EW6" t="e">
        <f>AND(nepředvyplněný!J23,"AAAAAC8v/5g=")</f>
        <v>#VALUE!</v>
      </c>
      <c r="EX6" t="e">
        <f>AND(nepředvyplněný!K23,"AAAAAC8v/5k=")</f>
        <v>#VALUE!</v>
      </c>
      <c r="EY6" t="e">
        <f>AND(nepředvyplněný!L23,"AAAAAC8v/5o=")</f>
        <v>#VALUE!</v>
      </c>
      <c r="EZ6" t="e">
        <f>AND(nepředvyplněný!M23,"AAAAAC8v/5s=")</f>
        <v>#VALUE!</v>
      </c>
      <c r="FA6" t="e">
        <f>AND(nepředvyplněný!N23,"AAAAAC8v/5w=")</f>
        <v>#VALUE!</v>
      </c>
      <c r="FB6" t="e">
        <f>AND(nepředvyplněný!O23,"AAAAAC8v/50=")</f>
        <v>#VALUE!</v>
      </c>
      <c r="FC6" t="e">
        <f>AND(nepředvyplněný!P23,"AAAAAC8v/54=")</f>
        <v>#VALUE!</v>
      </c>
      <c r="FD6" t="e">
        <f>AND(nepředvyplněný!Q23,"AAAAAC8v/58=")</f>
        <v>#VALUE!</v>
      </c>
      <c r="FE6" t="e">
        <f>AND(nepředvyplněný!R23,"AAAAAC8v/6A=")</f>
        <v>#VALUE!</v>
      </c>
      <c r="FF6" t="e">
        <f>AND(nepředvyplněný!S23,"AAAAAC8v/6E=")</f>
        <v>#VALUE!</v>
      </c>
      <c r="FG6" s="60">
        <f>IF(nepředvyplněný!24:24,"AAAAAC8v/6I=",0)</f>
        <v>0</v>
      </c>
      <c r="FH6" t="e">
        <f>AND(nepředvyplněný!A24,"AAAAAC8v/6M=")</f>
        <v>#VALUE!</v>
      </c>
      <c r="FI6" t="e">
        <f>AND(nepředvyplněný!B24,"AAAAAC8v/6Q=")</f>
        <v>#VALUE!</v>
      </c>
      <c r="FJ6" t="e">
        <f>AND(nepředvyplněný!C24,"AAAAAC8v/6U=")</f>
        <v>#VALUE!</v>
      </c>
      <c r="FK6" t="e">
        <f>AND(nepředvyplněný!D24,"AAAAAC8v/6Y=")</f>
        <v>#VALUE!</v>
      </c>
      <c r="FL6" t="e">
        <f>AND(nepředvyplněný!E24,"AAAAAC8v/6c=")</f>
        <v>#VALUE!</v>
      </c>
      <c r="FM6" t="e">
        <f>AND(nepředvyplněný!F24,"AAAAAC8v/6g=")</f>
        <v>#VALUE!</v>
      </c>
      <c r="FN6" t="e">
        <f>AND(nepředvyplněný!G24,"AAAAAC8v/6k=")</f>
        <v>#VALUE!</v>
      </c>
      <c r="FO6" t="e">
        <f>AND(nepředvyplněný!H24,"AAAAAC8v/6o=")</f>
        <v>#VALUE!</v>
      </c>
      <c r="FP6" t="e">
        <f>AND(nepředvyplněný!I24,"AAAAAC8v/6s=")</f>
        <v>#VALUE!</v>
      </c>
      <c r="FQ6" t="e">
        <f>AND(nepředvyplněný!J24,"AAAAAC8v/6w=")</f>
        <v>#VALUE!</v>
      </c>
      <c r="FR6" t="e">
        <f>AND(nepředvyplněný!K24,"AAAAAC8v/60=")</f>
        <v>#VALUE!</v>
      </c>
      <c r="FS6" t="e">
        <f>AND(nepředvyplněný!L24,"AAAAAC8v/64=")</f>
        <v>#VALUE!</v>
      </c>
      <c r="FT6" t="e">
        <f>AND(nepředvyplněný!M24,"AAAAAC8v/68=")</f>
        <v>#VALUE!</v>
      </c>
      <c r="FU6" t="e">
        <f>AND(nepředvyplněný!N24,"AAAAAC8v/7A=")</f>
        <v>#VALUE!</v>
      </c>
      <c r="FV6" t="e">
        <f>AND(nepředvyplněný!O24,"AAAAAC8v/7E=")</f>
        <v>#VALUE!</v>
      </c>
      <c r="FW6" t="e">
        <f>AND(nepředvyplněný!P24,"AAAAAC8v/7I=")</f>
        <v>#VALUE!</v>
      </c>
      <c r="FX6" t="e">
        <f>AND(nepředvyplněný!Q24,"AAAAAC8v/7M=")</f>
        <v>#VALUE!</v>
      </c>
      <c r="FY6" t="e">
        <f>AND(nepředvyplněný!R24,"AAAAAC8v/7Q=")</f>
        <v>#VALUE!</v>
      </c>
      <c r="FZ6" t="e">
        <f>AND(nepředvyplněný!S24,"AAAAAC8v/7U=")</f>
        <v>#VALUE!</v>
      </c>
      <c r="GA6" s="60">
        <f>IF(nepředvyplněný!25:25,"AAAAAC8v/7Y=",0)</f>
        <v>0</v>
      </c>
      <c r="GB6" t="e">
        <f>AND(nepředvyplněný!A25,"AAAAAC8v/7c=")</f>
        <v>#VALUE!</v>
      </c>
      <c r="GC6" t="e">
        <f>AND(nepředvyplněný!B25,"AAAAAC8v/7g=")</f>
        <v>#VALUE!</v>
      </c>
      <c r="GD6" t="e">
        <f>AND(nepředvyplněný!C25,"AAAAAC8v/7k=")</f>
        <v>#VALUE!</v>
      </c>
      <c r="GE6" t="e">
        <f>AND(nepředvyplněný!D25,"AAAAAC8v/7o=")</f>
        <v>#VALUE!</v>
      </c>
      <c r="GF6" t="e">
        <f>AND(nepředvyplněný!E25,"AAAAAC8v/7s=")</f>
        <v>#VALUE!</v>
      </c>
      <c r="GG6" t="e">
        <f>AND(nepředvyplněný!F25,"AAAAAC8v/7w=")</f>
        <v>#VALUE!</v>
      </c>
      <c r="GH6" t="e">
        <f>AND(nepředvyplněný!G25,"AAAAAC8v/70=")</f>
        <v>#VALUE!</v>
      </c>
      <c r="GI6" t="e">
        <f>AND(nepředvyplněný!H25,"AAAAAC8v/74=")</f>
        <v>#VALUE!</v>
      </c>
      <c r="GJ6" t="e">
        <f>AND(nepředvyplněný!I25,"AAAAAC8v/78=")</f>
        <v>#VALUE!</v>
      </c>
      <c r="GK6" t="e">
        <f>AND(nepředvyplněný!J25,"AAAAAC8v/8A=")</f>
        <v>#VALUE!</v>
      </c>
      <c r="GL6" t="e">
        <f>AND(nepředvyplněný!K25,"AAAAAC8v/8E=")</f>
        <v>#VALUE!</v>
      </c>
      <c r="GM6" t="e">
        <f>AND(nepředvyplněný!L25,"AAAAAC8v/8I=")</f>
        <v>#VALUE!</v>
      </c>
      <c r="GN6" t="e">
        <f>AND(nepředvyplněný!M25,"AAAAAC8v/8M=")</f>
        <v>#VALUE!</v>
      </c>
      <c r="GO6" t="e">
        <f>AND(nepředvyplněný!N25,"AAAAAC8v/8Q=")</f>
        <v>#VALUE!</v>
      </c>
      <c r="GP6" t="e">
        <f>AND(nepředvyplněný!O25,"AAAAAC8v/8U=")</f>
        <v>#VALUE!</v>
      </c>
      <c r="GQ6" t="e">
        <f>AND(nepředvyplněný!P25,"AAAAAC8v/8Y=")</f>
        <v>#VALUE!</v>
      </c>
      <c r="GR6" t="e">
        <f>AND(nepředvyplněný!Q25,"AAAAAC8v/8c=")</f>
        <v>#VALUE!</v>
      </c>
      <c r="GS6" t="e">
        <f>AND(nepředvyplněný!R25,"AAAAAC8v/8g=")</f>
        <v>#VALUE!</v>
      </c>
      <c r="GT6" t="e">
        <f>AND(nepředvyplněný!S25,"AAAAAC8v/8k=")</f>
        <v>#VALUE!</v>
      </c>
      <c r="GU6" s="60">
        <f>IF(nepředvyplněný!26:26,"AAAAAC8v/8o=",0)</f>
        <v>0</v>
      </c>
      <c r="GV6" t="e">
        <f>AND(nepředvyplněný!A26,"AAAAAC8v/8s=")</f>
        <v>#VALUE!</v>
      </c>
      <c r="GW6" t="e">
        <f>AND(nepředvyplněný!B26,"AAAAAC8v/8w=")</f>
        <v>#VALUE!</v>
      </c>
      <c r="GX6" t="e">
        <f>AND(nepředvyplněný!C26,"AAAAAC8v/80=")</f>
        <v>#VALUE!</v>
      </c>
      <c r="GY6" t="e">
        <f>AND(nepředvyplněný!D26,"AAAAAC8v/84=")</f>
        <v>#VALUE!</v>
      </c>
      <c r="GZ6" t="e">
        <f>AND(nepředvyplněný!E26,"AAAAAC8v/88=")</f>
        <v>#VALUE!</v>
      </c>
      <c r="HA6" t="e">
        <f>AND(nepředvyplněný!F26,"AAAAAC8v/9A=")</f>
        <v>#VALUE!</v>
      </c>
      <c r="HB6" t="e">
        <f>AND(nepředvyplněný!G26,"AAAAAC8v/9E=")</f>
        <v>#VALUE!</v>
      </c>
      <c r="HC6" t="e">
        <f>AND(nepředvyplněný!H26,"AAAAAC8v/9I=")</f>
        <v>#VALUE!</v>
      </c>
      <c r="HD6" t="e">
        <f>AND(nepředvyplněný!I26,"AAAAAC8v/9M=")</f>
        <v>#VALUE!</v>
      </c>
      <c r="HE6" t="e">
        <f>AND(nepředvyplněný!J26,"AAAAAC8v/9Q=")</f>
        <v>#VALUE!</v>
      </c>
      <c r="HF6" t="e">
        <f>AND(nepředvyplněný!K26,"AAAAAC8v/9U=")</f>
        <v>#VALUE!</v>
      </c>
      <c r="HG6" t="e">
        <f>AND(nepředvyplněný!L26,"AAAAAC8v/9Y=")</f>
        <v>#VALUE!</v>
      </c>
      <c r="HH6" t="e">
        <f>AND(nepředvyplněný!M26,"AAAAAC8v/9c=")</f>
        <v>#VALUE!</v>
      </c>
      <c r="HI6" t="e">
        <f>AND(nepředvyplněný!N26,"AAAAAC8v/9g=")</f>
        <v>#VALUE!</v>
      </c>
      <c r="HJ6" t="e">
        <f>AND(nepředvyplněný!O26,"AAAAAC8v/9k=")</f>
        <v>#VALUE!</v>
      </c>
      <c r="HK6" t="e">
        <f>AND(nepředvyplněný!P26,"AAAAAC8v/9o=")</f>
        <v>#VALUE!</v>
      </c>
      <c r="HL6" t="e">
        <f>AND(nepředvyplněný!Q26,"AAAAAC8v/9s=")</f>
        <v>#VALUE!</v>
      </c>
      <c r="HM6" t="e">
        <f>AND(nepředvyplněný!R26,"AAAAAC8v/9w=")</f>
        <v>#VALUE!</v>
      </c>
      <c r="HN6" t="e">
        <f>AND(nepředvyplněný!S26,"AAAAAC8v/90=")</f>
        <v>#VALUE!</v>
      </c>
      <c r="HO6" s="60">
        <f>IF(nepředvyplněný!27:27,"AAAAAC8v/94=",0)</f>
        <v>0</v>
      </c>
      <c r="HP6" t="e">
        <f>AND(nepředvyplněný!A27,"AAAAAC8v/98=")</f>
        <v>#VALUE!</v>
      </c>
      <c r="HQ6" t="e">
        <f>AND(nepředvyplněný!B27,"AAAAAC8v/+A=")</f>
        <v>#VALUE!</v>
      </c>
      <c r="HR6" t="e">
        <f>AND(nepředvyplněný!C27,"AAAAAC8v/+E=")</f>
        <v>#VALUE!</v>
      </c>
      <c r="HS6" t="e">
        <f>AND(nepředvyplněný!D27,"AAAAAC8v/+I=")</f>
        <v>#VALUE!</v>
      </c>
      <c r="HT6" t="e">
        <f>AND(nepředvyplněný!E27,"AAAAAC8v/+M=")</f>
        <v>#VALUE!</v>
      </c>
      <c r="HU6" t="e">
        <f>AND(nepředvyplněný!F27,"AAAAAC8v/+Q=")</f>
        <v>#VALUE!</v>
      </c>
      <c r="HV6" t="e">
        <f>AND(nepředvyplněný!G27,"AAAAAC8v/+U=")</f>
        <v>#VALUE!</v>
      </c>
      <c r="HW6" t="e">
        <f>AND(nepředvyplněný!H27,"AAAAAC8v/+Y=")</f>
        <v>#VALUE!</v>
      </c>
      <c r="HX6" t="e">
        <f>AND(nepředvyplněný!I27,"AAAAAC8v/+c=")</f>
        <v>#VALUE!</v>
      </c>
      <c r="HY6" t="e">
        <f>AND(nepředvyplněný!J27,"AAAAAC8v/+g=")</f>
        <v>#VALUE!</v>
      </c>
      <c r="HZ6" t="e">
        <f>AND(nepředvyplněný!K27,"AAAAAC8v/+k=")</f>
        <v>#VALUE!</v>
      </c>
      <c r="IA6" t="e">
        <f>AND(nepředvyplněný!L27,"AAAAAC8v/+o=")</f>
        <v>#VALUE!</v>
      </c>
      <c r="IB6" t="e">
        <f>AND(nepředvyplněný!M27,"AAAAAC8v/+s=")</f>
        <v>#VALUE!</v>
      </c>
      <c r="IC6" t="e">
        <f>AND(nepředvyplněný!N27,"AAAAAC8v/+w=")</f>
        <v>#VALUE!</v>
      </c>
      <c r="ID6" t="e">
        <f>AND(nepředvyplněný!O27,"AAAAAC8v/+0=")</f>
        <v>#VALUE!</v>
      </c>
      <c r="IE6" t="e">
        <f>AND(nepředvyplněný!P27,"AAAAAC8v/+4=")</f>
        <v>#VALUE!</v>
      </c>
      <c r="IF6" t="e">
        <f>AND(nepředvyplněný!Q27,"AAAAAC8v/+8=")</f>
        <v>#VALUE!</v>
      </c>
      <c r="IG6" t="e">
        <f>AND(nepředvyplněný!R27,"AAAAAC8v//A=")</f>
        <v>#VALUE!</v>
      </c>
      <c r="IH6" t="e">
        <f>AND(nepředvyplněný!S27,"AAAAAC8v//E=")</f>
        <v>#VALUE!</v>
      </c>
      <c r="II6" s="60">
        <f>IF(nepředvyplněný!28:28,"AAAAAC8v//I=",0)</f>
        <v>0</v>
      </c>
      <c r="IJ6" t="e">
        <f>AND(nepředvyplněný!A28,"AAAAAC8v//M=")</f>
        <v>#VALUE!</v>
      </c>
      <c r="IK6" t="e">
        <f>AND(nepředvyplněný!B28,"AAAAAC8v//Q=")</f>
        <v>#VALUE!</v>
      </c>
      <c r="IL6" t="e">
        <f>AND(nepředvyplněný!C28,"AAAAAC8v//U=")</f>
        <v>#VALUE!</v>
      </c>
      <c r="IM6" t="e">
        <f>AND(nepředvyplněný!D28,"AAAAAC8v//Y=")</f>
        <v>#VALUE!</v>
      </c>
      <c r="IN6" t="e">
        <f>AND(nepředvyplněný!E28,"AAAAAC8v//c=")</f>
        <v>#VALUE!</v>
      </c>
      <c r="IO6" t="e">
        <f>AND(nepředvyplněný!F28,"AAAAAC8v//g=")</f>
        <v>#VALUE!</v>
      </c>
      <c r="IP6" t="e">
        <f>AND(nepředvyplněný!G28,"AAAAAC8v//k=")</f>
        <v>#VALUE!</v>
      </c>
      <c r="IQ6" t="e">
        <f>AND(nepředvyplněný!H28,"AAAAAC8v//o=")</f>
        <v>#VALUE!</v>
      </c>
      <c r="IR6" t="e">
        <f>AND(nepředvyplněný!I28,"AAAAAC8v//s=")</f>
        <v>#VALUE!</v>
      </c>
      <c r="IS6" t="e">
        <f>AND(nepředvyplněný!J28,"AAAAAC8v//w=")</f>
        <v>#VALUE!</v>
      </c>
      <c r="IT6" t="e">
        <f>AND(nepředvyplněný!K28,"AAAAAC8v//0=")</f>
        <v>#VALUE!</v>
      </c>
      <c r="IU6" t="e">
        <f>AND(nepředvyplněný!L28,"AAAAAC8v//4=")</f>
        <v>#VALUE!</v>
      </c>
      <c r="IV6" t="e">
        <f>AND(nepředvyplněný!M28,"AAAAAC8v//8=")</f>
        <v>#VALUE!</v>
      </c>
    </row>
    <row r="7" spans="1:256">
      <c r="A7" t="e">
        <f>AND(nepředvyplněný!N28,"AAAAAD+x7wA=")</f>
        <v>#VALUE!</v>
      </c>
      <c r="B7" t="e">
        <f>AND(nepředvyplněný!O28,"AAAAAD+x7wE=")</f>
        <v>#VALUE!</v>
      </c>
      <c r="C7" t="e">
        <f>AND(nepředvyplněný!P28,"AAAAAD+x7wI=")</f>
        <v>#VALUE!</v>
      </c>
      <c r="D7" t="e">
        <f>AND(nepředvyplněný!Q28,"AAAAAD+x7wM=")</f>
        <v>#VALUE!</v>
      </c>
      <c r="E7" t="e">
        <f>AND(nepředvyplněný!R28,"AAAAAD+x7wQ=")</f>
        <v>#VALUE!</v>
      </c>
      <c r="F7" t="e">
        <f>AND(nepředvyplněný!S28,"AAAAAD+x7wU=")</f>
        <v>#VALUE!</v>
      </c>
      <c r="G7" s="60">
        <f>IF(nepředvyplněný!29:29,"AAAAAD+x7wY=",0)</f>
        <v>0</v>
      </c>
      <c r="H7" t="e">
        <f>AND(nepředvyplněný!A29,"AAAAAD+x7wc=")</f>
        <v>#VALUE!</v>
      </c>
      <c r="I7" t="e">
        <f>AND(nepředvyplněný!B29,"AAAAAD+x7wg=")</f>
        <v>#VALUE!</v>
      </c>
      <c r="J7" t="e">
        <f>AND(nepředvyplněný!C29,"AAAAAD+x7wk=")</f>
        <v>#VALUE!</v>
      </c>
      <c r="K7" t="e">
        <f>AND(nepředvyplněný!D29,"AAAAAD+x7wo=")</f>
        <v>#VALUE!</v>
      </c>
      <c r="L7" t="e">
        <f>AND(nepředvyplněný!E29,"AAAAAD+x7ws=")</f>
        <v>#VALUE!</v>
      </c>
      <c r="M7" t="e">
        <f>AND(nepředvyplněný!F29,"AAAAAD+x7ww=")</f>
        <v>#VALUE!</v>
      </c>
      <c r="N7" t="e">
        <f>AND(nepředvyplněný!G29,"AAAAAD+x7w0=")</f>
        <v>#VALUE!</v>
      </c>
      <c r="O7" t="e">
        <f>AND(nepředvyplněný!H29,"AAAAAD+x7w4=")</f>
        <v>#VALUE!</v>
      </c>
      <c r="P7" t="e">
        <f>AND(nepředvyplněný!I29,"AAAAAD+x7w8=")</f>
        <v>#VALUE!</v>
      </c>
      <c r="Q7" t="e">
        <f>AND(nepředvyplněný!J29,"AAAAAD+x7xA=")</f>
        <v>#VALUE!</v>
      </c>
      <c r="R7" t="e">
        <f>AND(nepředvyplněný!K29,"AAAAAD+x7xE=")</f>
        <v>#VALUE!</v>
      </c>
      <c r="S7" t="e">
        <f>AND(nepředvyplněný!L29,"AAAAAD+x7xI=")</f>
        <v>#VALUE!</v>
      </c>
      <c r="T7" t="e">
        <f>AND(nepředvyplněný!M29,"AAAAAD+x7xM=")</f>
        <v>#VALUE!</v>
      </c>
      <c r="U7" t="e">
        <f>AND(nepředvyplněný!N29,"AAAAAD+x7xQ=")</f>
        <v>#VALUE!</v>
      </c>
      <c r="V7" t="e">
        <f>AND(nepředvyplněný!O29,"AAAAAD+x7xU=")</f>
        <v>#VALUE!</v>
      </c>
      <c r="W7" t="e">
        <f>AND(nepředvyplněný!P29,"AAAAAD+x7xY=")</f>
        <v>#VALUE!</v>
      </c>
      <c r="X7" t="e">
        <f>AND(nepředvyplněný!Q29,"AAAAAD+x7xc=")</f>
        <v>#VALUE!</v>
      </c>
      <c r="Y7" t="e">
        <f>AND(nepředvyplněný!R29,"AAAAAD+x7xg=")</f>
        <v>#VALUE!</v>
      </c>
      <c r="Z7" t="e">
        <f>AND(nepředvyplněný!S29,"AAAAAD+x7xk=")</f>
        <v>#VALUE!</v>
      </c>
      <c r="AA7" s="60">
        <f>IF(nepředvyplněný!30:30,"AAAAAD+x7xo=",0)</f>
        <v>0</v>
      </c>
      <c r="AB7" t="e">
        <f>AND(nepředvyplněný!A30,"AAAAAD+x7xs=")</f>
        <v>#VALUE!</v>
      </c>
      <c r="AC7" t="e">
        <f>AND(nepředvyplněný!B30,"AAAAAD+x7xw=")</f>
        <v>#VALUE!</v>
      </c>
      <c r="AD7" t="e">
        <f>AND(nepředvyplněný!C30,"AAAAAD+x7x0=")</f>
        <v>#VALUE!</v>
      </c>
      <c r="AE7" t="e">
        <f>AND(nepředvyplněný!D30,"AAAAAD+x7x4=")</f>
        <v>#VALUE!</v>
      </c>
      <c r="AF7" t="e">
        <f>AND(nepředvyplněný!E30,"AAAAAD+x7x8=")</f>
        <v>#VALUE!</v>
      </c>
      <c r="AG7" t="e">
        <f>AND(nepředvyplněný!F30,"AAAAAD+x7yA=")</f>
        <v>#VALUE!</v>
      </c>
      <c r="AH7" t="e">
        <f>AND(nepředvyplněný!G30,"AAAAAD+x7yE=")</f>
        <v>#VALUE!</v>
      </c>
      <c r="AI7" t="e">
        <f>AND(nepředvyplněný!H30,"AAAAAD+x7yI=")</f>
        <v>#VALUE!</v>
      </c>
      <c r="AJ7" t="e">
        <f>AND(nepředvyplněný!I30,"AAAAAD+x7yM=")</f>
        <v>#VALUE!</v>
      </c>
      <c r="AK7" t="e">
        <f>AND(nepředvyplněný!J30,"AAAAAD+x7yQ=")</f>
        <v>#VALUE!</v>
      </c>
      <c r="AL7" t="e">
        <f>AND(nepředvyplněný!K30,"AAAAAD+x7yU=")</f>
        <v>#VALUE!</v>
      </c>
      <c r="AM7" t="e">
        <f>AND(nepředvyplněný!L30,"AAAAAD+x7yY=")</f>
        <v>#VALUE!</v>
      </c>
      <c r="AN7" t="e">
        <f>AND(nepředvyplněný!M30,"AAAAAD+x7yc=")</f>
        <v>#VALUE!</v>
      </c>
      <c r="AO7" t="e">
        <f>AND(nepředvyplněný!N30,"AAAAAD+x7yg=")</f>
        <v>#VALUE!</v>
      </c>
      <c r="AP7" t="e">
        <f>AND(nepředvyplněný!O30,"AAAAAD+x7yk=")</f>
        <v>#VALUE!</v>
      </c>
      <c r="AQ7" t="e">
        <f>AND(nepředvyplněný!P30,"AAAAAD+x7yo=")</f>
        <v>#VALUE!</v>
      </c>
      <c r="AR7" t="e">
        <f>AND(nepředvyplněný!Q30,"AAAAAD+x7ys=")</f>
        <v>#VALUE!</v>
      </c>
      <c r="AS7" t="e">
        <f>AND(nepředvyplněný!R30,"AAAAAD+x7yw=")</f>
        <v>#VALUE!</v>
      </c>
      <c r="AT7" t="e">
        <f>AND(nepředvyplněný!S30,"AAAAAD+x7y0=")</f>
        <v>#VALUE!</v>
      </c>
      <c r="AU7" s="60">
        <f>IF(nepředvyplněný!31:31,"AAAAAD+x7y4=",0)</f>
        <v>0</v>
      </c>
      <c r="AV7" t="e">
        <f>AND(nepředvyplněný!A31,"AAAAAD+x7y8=")</f>
        <v>#VALUE!</v>
      </c>
      <c r="AW7" t="e">
        <f>AND(nepředvyplněný!B31,"AAAAAD+x7zA=")</f>
        <v>#VALUE!</v>
      </c>
      <c r="AX7" t="e">
        <f>AND(nepředvyplněný!C31,"AAAAAD+x7zE=")</f>
        <v>#VALUE!</v>
      </c>
      <c r="AY7" t="e">
        <f>AND(nepředvyplněný!D31,"AAAAAD+x7zI=")</f>
        <v>#VALUE!</v>
      </c>
      <c r="AZ7" t="e">
        <f>AND(nepředvyplněný!E31,"AAAAAD+x7zM=")</f>
        <v>#VALUE!</v>
      </c>
      <c r="BA7" t="e">
        <f>AND(nepředvyplněný!F31,"AAAAAD+x7zQ=")</f>
        <v>#VALUE!</v>
      </c>
      <c r="BB7" t="e">
        <f>AND(nepředvyplněný!G31,"AAAAAD+x7zU=")</f>
        <v>#VALUE!</v>
      </c>
      <c r="BC7" t="e">
        <f>AND(nepředvyplněný!H31,"AAAAAD+x7zY=")</f>
        <v>#VALUE!</v>
      </c>
      <c r="BD7" t="e">
        <f>AND(nepředvyplněný!I31,"AAAAAD+x7zc=")</f>
        <v>#VALUE!</v>
      </c>
      <c r="BE7" t="e">
        <f>AND(nepředvyplněný!J31,"AAAAAD+x7zg=")</f>
        <v>#VALUE!</v>
      </c>
      <c r="BF7" t="e">
        <f>AND(nepředvyplněný!K31,"AAAAAD+x7zk=")</f>
        <v>#VALUE!</v>
      </c>
      <c r="BG7" t="e">
        <f>AND(nepředvyplněný!L31,"AAAAAD+x7zo=")</f>
        <v>#VALUE!</v>
      </c>
      <c r="BH7" t="e">
        <f>AND(nepředvyplněný!M31,"AAAAAD+x7zs=")</f>
        <v>#VALUE!</v>
      </c>
      <c r="BI7" t="e">
        <f>AND(nepředvyplněný!N31,"AAAAAD+x7zw=")</f>
        <v>#VALUE!</v>
      </c>
      <c r="BJ7" t="e">
        <f>AND(nepředvyplněný!O31,"AAAAAD+x7z0=")</f>
        <v>#VALUE!</v>
      </c>
      <c r="BK7" t="e">
        <f>AND(nepředvyplněný!P31,"AAAAAD+x7z4=")</f>
        <v>#VALUE!</v>
      </c>
      <c r="BL7" t="e">
        <f>AND(nepředvyplněný!Q31,"AAAAAD+x7z8=")</f>
        <v>#VALUE!</v>
      </c>
      <c r="BM7" t="e">
        <f>AND(nepředvyplněný!R31,"AAAAAD+x70A=")</f>
        <v>#VALUE!</v>
      </c>
      <c r="BN7" t="e">
        <f>AND(nepředvyplněný!S31,"AAAAAD+x70E=")</f>
        <v>#VALUE!</v>
      </c>
      <c r="BO7" s="60">
        <f>IF(nepředvyplněný!32:32,"AAAAAD+x70I=",0)</f>
        <v>0</v>
      </c>
      <c r="BP7" t="e">
        <f>AND(nepředvyplněný!A32,"AAAAAD+x70M=")</f>
        <v>#VALUE!</v>
      </c>
      <c r="BQ7" t="e">
        <f>AND(nepředvyplněný!B32,"AAAAAD+x70Q=")</f>
        <v>#VALUE!</v>
      </c>
      <c r="BR7" t="e">
        <f>AND(nepředvyplněný!C32,"AAAAAD+x70U=")</f>
        <v>#VALUE!</v>
      </c>
      <c r="BS7" t="e">
        <f>AND(nepředvyplněný!D32,"AAAAAD+x70Y=")</f>
        <v>#VALUE!</v>
      </c>
      <c r="BT7" t="e">
        <f>AND(nepředvyplněný!E32,"AAAAAD+x70c=")</f>
        <v>#VALUE!</v>
      </c>
      <c r="BU7" t="e">
        <f>AND(nepředvyplněný!F32,"AAAAAD+x70g=")</f>
        <v>#VALUE!</v>
      </c>
      <c r="BV7" t="e">
        <f>AND(nepředvyplněný!G32,"AAAAAD+x70k=")</f>
        <v>#VALUE!</v>
      </c>
      <c r="BW7" t="e">
        <f>AND(nepředvyplněný!H32,"AAAAAD+x70o=")</f>
        <v>#VALUE!</v>
      </c>
      <c r="BX7" t="e">
        <f>AND(nepředvyplněný!I32,"AAAAAD+x70s=")</f>
        <v>#VALUE!</v>
      </c>
      <c r="BY7" t="e">
        <f>AND(nepředvyplněný!J32,"AAAAAD+x70w=")</f>
        <v>#VALUE!</v>
      </c>
      <c r="BZ7" t="e">
        <f>AND(nepředvyplněný!K32,"AAAAAD+x700=")</f>
        <v>#VALUE!</v>
      </c>
      <c r="CA7" t="e">
        <f>AND(nepředvyplněný!L32,"AAAAAD+x704=")</f>
        <v>#VALUE!</v>
      </c>
      <c r="CB7" t="e">
        <f>AND(nepředvyplněný!M32,"AAAAAD+x708=")</f>
        <v>#VALUE!</v>
      </c>
      <c r="CC7" t="e">
        <f>AND(nepředvyplněný!N32,"AAAAAD+x71A=")</f>
        <v>#VALUE!</v>
      </c>
      <c r="CD7" t="e">
        <f>AND(nepředvyplněný!O32,"AAAAAD+x71E=")</f>
        <v>#VALUE!</v>
      </c>
      <c r="CE7" t="e">
        <f>AND(nepředvyplněný!P32,"AAAAAD+x71I=")</f>
        <v>#VALUE!</v>
      </c>
      <c r="CF7" t="e">
        <f>AND(nepředvyplněný!Q32,"AAAAAD+x71M=")</f>
        <v>#VALUE!</v>
      </c>
      <c r="CG7" t="e">
        <f>AND(nepředvyplněný!R32,"AAAAAD+x71Q=")</f>
        <v>#VALUE!</v>
      </c>
      <c r="CH7" t="e">
        <f>AND(nepředvyplněný!S32,"AAAAAD+x71U=")</f>
        <v>#VALUE!</v>
      </c>
      <c r="CI7" s="60">
        <f>IF(nepředvyplněný!33:33,"AAAAAD+x71Y=",0)</f>
        <v>0</v>
      </c>
      <c r="CJ7" t="e">
        <f>AND(nepředvyplněný!A33,"AAAAAD+x71c=")</f>
        <v>#VALUE!</v>
      </c>
      <c r="CK7" t="e">
        <f>AND(nepředvyplněný!B33,"AAAAAD+x71g=")</f>
        <v>#VALUE!</v>
      </c>
      <c r="CL7" t="e">
        <f>AND(nepředvyplněný!C33,"AAAAAD+x71k=")</f>
        <v>#VALUE!</v>
      </c>
      <c r="CM7" t="e">
        <f>AND(nepředvyplněný!D33,"AAAAAD+x71o=")</f>
        <v>#VALUE!</v>
      </c>
      <c r="CN7" t="e">
        <f>AND(nepředvyplněný!E33,"AAAAAD+x71s=")</f>
        <v>#VALUE!</v>
      </c>
      <c r="CO7" t="e">
        <f>AND(nepředvyplněný!F33,"AAAAAD+x71w=")</f>
        <v>#VALUE!</v>
      </c>
      <c r="CP7" t="e">
        <f>AND(nepředvyplněný!G33,"AAAAAD+x710=")</f>
        <v>#VALUE!</v>
      </c>
      <c r="CQ7" t="e">
        <f>AND(nepředvyplněný!H33,"AAAAAD+x714=")</f>
        <v>#VALUE!</v>
      </c>
      <c r="CR7" t="e">
        <f>AND(nepředvyplněný!I33,"AAAAAD+x718=")</f>
        <v>#VALUE!</v>
      </c>
      <c r="CS7" t="e">
        <f>AND(nepředvyplněný!J33,"AAAAAD+x72A=")</f>
        <v>#VALUE!</v>
      </c>
      <c r="CT7" t="e">
        <f>AND(nepředvyplněný!K33,"AAAAAD+x72E=")</f>
        <v>#VALUE!</v>
      </c>
      <c r="CU7" t="e">
        <f>AND(nepředvyplněný!L33,"AAAAAD+x72I=")</f>
        <v>#VALUE!</v>
      </c>
      <c r="CV7" t="e">
        <f>AND(nepředvyplněný!M33,"AAAAAD+x72M=")</f>
        <v>#VALUE!</v>
      </c>
      <c r="CW7" t="e">
        <f>AND(nepředvyplněný!N33,"AAAAAD+x72Q=")</f>
        <v>#VALUE!</v>
      </c>
      <c r="CX7" t="e">
        <f>AND(nepředvyplněný!O33,"AAAAAD+x72U=")</f>
        <v>#VALUE!</v>
      </c>
      <c r="CY7" t="e">
        <f>AND(nepředvyplněný!P33,"AAAAAD+x72Y=")</f>
        <v>#VALUE!</v>
      </c>
      <c r="CZ7" t="e">
        <f>AND(nepředvyplněný!Q33,"AAAAAD+x72c=")</f>
        <v>#VALUE!</v>
      </c>
      <c r="DA7" t="e">
        <f>AND(nepředvyplněný!R33,"AAAAAD+x72g=")</f>
        <v>#VALUE!</v>
      </c>
      <c r="DB7" t="e">
        <f>AND(nepředvyplněný!S33,"AAAAAD+x72k=")</f>
        <v>#VALUE!</v>
      </c>
      <c r="DC7" s="60">
        <f>IF(nepředvyplněný!34:34,"AAAAAD+x72o=",0)</f>
        <v>0</v>
      </c>
      <c r="DD7" t="e">
        <f>AND(nepředvyplněný!A34,"AAAAAD+x72s=")</f>
        <v>#VALUE!</v>
      </c>
      <c r="DE7" t="e">
        <f>AND(nepředvyplněný!B34,"AAAAAD+x72w=")</f>
        <v>#VALUE!</v>
      </c>
      <c r="DF7" t="e">
        <f>AND(nepředvyplněný!C34,"AAAAAD+x720=")</f>
        <v>#VALUE!</v>
      </c>
      <c r="DG7" t="e">
        <f>AND(nepředvyplněný!D34,"AAAAAD+x724=")</f>
        <v>#VALUE!</v>
      </c>
      <c r="DH7" t="e">
        <f>AND(nepředvyplněný!E34,"AAAAAD+x728=")</f>
        <v>#VALUE!</v>
      </c>
      <c r="DI7" t="e">
        <f>AND(nepředvyplněný!F34,"AAAAAD+x73A=")</f>
        <v>#VALUE!</v>
      </c>
      <c r="DJ7" t="e">
        <f>AND(nepředvyplněný!G34,"AAAAAD+x73E=")</f>
        <v>#VALUE!</v>
      </c>
      <c r="DK7" t="e">
        <f>AND(nepředvyplněný!H34,"AAAAAD+x73I=")</f>
        <v>#VALUE!</v>
      </c>
      <c r="DL7" t="e">
        <f>AND(nepředvyplněný!I34,"AAAAAD+x73M=")</f>
        <v>#VALUE!</v>
      </c>
      <c r="DM7" t="e">
        <f>AND(nepředvyplněný!J34,"AAAAAD+x73Q=")</f>
        <v>#VALUE!</v>
      </c>
      <c r="DN7" t="e">
        <f>AND(nepředvyplněný!K34,"AAAAAD+x73U=")</f>
        <v>#VALUE!</v>
      </c>
      <c r="DO7" t="e">
        <f>AND(nepředvyplněný!L34,"AAAAAD+x73Y=")</f>
        <v>#VALUE!</v>
      </c>
      <c r="DP7" t="e">
        <f>AND(nepředvyplněný!M34,"AAAAAD+x73c=")</f>
        <v>#VALUE!</v>
      </c>
      <c r="DQ7" t="e">
        <f>AND(nepředvyplněný!N34,"AAAAAD+x73g=")</f>
        <v>#VALUE!</v>
      </c>
      <c r="DR7" t="e">
        <f>AND(nepředvyplněný!O34,"AAAAAD+x73k=")</f>
        <v>#VALUE!</v>
      </c>
      <c r="DS7" t="e">
        <f>AND(nepředvyplněný!P34,"AAAAAD+x73o=")</f>
        <v>#VALUE!</v>
      </c>
      <c r="DT7" t="e">
        <f>AND(nepředvyplněný!Q34,"AAAAAD+x73s=")</f>
        <v>#VALUE!</v>
      </c>
      <c r="DU7" t="e">
        <f>AND(nepředvyplněný!R34,"AAAAAD+x73w=")</f>
        <v>#VALUE!</v>
      </c>
      <c r="DV7" t="e">
        <f>AND(nepředvyplněný!S34,"AAAAAD+x730=")</f>
        <v>#VALUE!</v>
      </c>
      <c r="DW7" s="60">
        <f>IF(nepředvyplněný!35:35,"AAAAAD+x734=",0)</f>
        <v>0</v>
      </c>
      <c r="DX7" t="e">
        <f>AND(nepředvyplněný!A35,"AAAAAD+x738=")</f>
        <v>#VALUE!</v>
      </c>
      <c r="DY7" t="e">
        <f>AND(nepředvyplněný!B35,"AAAAAD+x74A=")</f>
        <v>#VALUE!</v>
      </c>
      <c r="DZ7" t="e">
        <f>AND(nepředvyplněný!C35,"AAAAAD+x74E=")</f>
        <v>#VALUE!</v>
      </c>
      <c r="EA7" t="e">
        <f>AND(nepředvyplněný!D35,"AAAAAD+x74I=")</f>
        <v>#VALUE!</v>
      </c>
      <c r="EB7" t="e">
        <f>AND(nepředvyplněný!E35,"AAAAAD+x74M=")</f>
        <v>#VALUE!</v>
      </c>
      <c r="EC7" t="e">
        <f>AND(nepředvyplněný!F35,"AAAAAD+x74Q=")</f>
        <v>#VALUE!</v>
      </c>
      <c r="ED7" t="e">
        <f>AND(nepředvyplněný!G35,"AAAAAD+x74U=")</f>
        <v>#VALUE!</v>
      </c>
      <c r="EE7" t="e">
        <f>AND(nepředvyplněný!H35,"AAAAAD+x74Y=")</f>
        <v>#VALUE!</v>
      </c>
      <c r="EF7" t="e">
        <f>AND(nepředvyplněný!I35,"AAAAAD+x74c=")</f>
        <v>#VALUE!</v>
      </c>
      <c r="EG7" t="e">
        <f>AND(nepředvyplněný!J35,"AAAAAD+x74g=")</f>
        <v>#VALUE!</v>
      </c>
      <c r="EH7" t="e">
        <f>AND(nepředvyplněný!K35,"AAAAAD+x74k=")</f>
        <v>#VALUE!</v>
      </c>
      <c r="EI7" t="e">
        <f>AND(nepředvyplněný!L35,"AAAAAD+x74o=")</f>
        <v>#VALUE!</v>
      </c>
      <c r="EJ7" t="e">
        <f>AND(nepředvyplněný!M35,"AAAAAD+x74s=")</f>
        <v>#VALUE!</v>
      </c>
      <c r="EK7" t="e">
        <f>AND(nepředvyplněný!N35,"AAAAAD+x74w=")</f>
        <v>#VALUE!</v>
      </c>
      <c r="EL7" t="e">
        <f>AND(nepředvyplněný!O35,"AAAAAD+x740=")</f>
        <v>#VALUE!</v>
      </c>
      <c r="EM7" t="e">
        <f>AND(nepředvyplněný!P35,"AAAAAD+x744=")</f>
        <v>#VALUE!</v>
      </c>
      <c r="EN7" t="e">
        <f>AND(nepředvyplněný!Q35,"AAAAAD+x748=")</f>
        <v>#VALUE!</v>
      </c>
      <c r="EO7" t="e">
        <f>AND(nepředvyplněný!R35,"AAAAAD+x75A=")</f>
        <v>#VALUE!</v>
      </c>
      <c r="EP7" t="e">
        <f>AND(nepředvyplněný!S35,"AAAAAD+x75E=")</f>
        <v>#VALUE!</v>
      </c>
      <c r="EQ7" s="60">
        <f>IF(nepředvyplněný!36:36,"AAAAAD+x75I=",0)</f>
        <v>0</v>
      </c>
      <c r="ER7" t="e">
        <f>AND(nepředvyplněný!A36,"AAAAAD+x75M=")</f>
        <v>#VALUE!</v>
      </c>
      <c r="ES7" t="e">
        <f>AND(nepředvyplněný!B36,"AAAAAD+x75Q=")</f>
        <v>#VALUE!</v>
      </c>
      <c r="ET7" t="e">
        <f>AND(nepředvyplněný!C36,"AAAAAD+x75U=")</f>
        <v>#VALUE!</v>
      </c>
      <c r="EU7" t="e">
        <f>AND(nepředvyplněný!D36,"AAAAAD+x75Y=")</f>
        <v>#VALUE!</v>
      </c>
      <c r="EV7" t="e">
        <f>AND(nepředvyplněný!E36,"AAAAAD+x75c=")</f>
        <v>#VALUE!</v>
      </c>
      <c r="EW7" t="e">
        <f>AND(nepředvyplněný!F36,"AAAAAD+x75g=")</f>
        <v>#VALUE!</v>
      </c>
      <c r="EX7" t="e">
        <f>AND(nepředvyplněný!G36,"AAAAAD+x75k=")</f>
        <v>#VALUE!</v>
      </c>
      <c r="EY7" t="e">
        <f>AND(nepředvyplněný!H36,"AAAAAD+x75o=")</f>
        <v>#VALUE!</v>
      </c>
      <c r="EZ7" t="e">
        <f>AND(nepředvyplněný!I36,"AAAAAD+x75s=")</f>
        <v>#VALUE!</v>
      </c>
      <c r="FA7" t="e">
        <f>AND(nepředvyplněný!J36,"AAAAAD+x75w=")</f>
        <v>#VALUE!</v>
      </c>
      <c r="FB7" t="e">
        <f>AND(nepředvyplněný!K36,"AAAAAD+x750=")</f>
        <v>#VALUE!</v>
      </c>
      <c r="FC7" t="e">
        <f>AND(nepředvyplněný!L36,"AAAAAD+x754=")</f>
        <v>#VALUE!</v>
      </c>
      <c r="FD7" t="e">
        <f>AND(nepředvyplněný!M36,"AAAAAD+x758=")</f>
        <v>#VALUE!</v>
      </c>
      <c r="FE7" t="e">
        <f>AND(nepředvyplněný!N36,"AAAAAD+x76A=")</f>
        <v>#VALUE!</v>
      </c>
      <c r="FF7" t="e">
        <f>AND(nepředvyplněný!O36,"AAAAAD+x76E=")</f>
        <v>#VALUE!</v>
      </c>
      <c r="FG7" t="e">
        <f>AND(nepředvyplněný!P36,"AAAAAD+x76I=")</f>
        <v>#VALUE!</v>
      </c>
      <c r="FH7" t="e">
        <f>AND(nepředvyplněný!Q36,"AAAAAD+x76M=")</f>
        <v>#VALUE!</v>
      </c>
      <c r="FI7" t="e">
        <f>AND(nepředvyplněný!R36,"AAAAAD+x76Q=")</f>
        <v>#VALUE!</v>
      </c>
      <c r="FJ7" t="e">
        <f>AND(nepředvyplněný!S36,"AAAAAD+x76U=")</f>
        <v>#VALUE!</v>
      </c>
      <c r="FK7" s="60">
        <f>IF(nepředvyplněný!37:37,"AAAAAD+x76Y=",0)</f>
        <v>0</v>
      </c>
      <c r="FL7" t="e">
        <f>AND(nepředvyplněný!A37,"AAAAAD+x76c=")</f>
        <v>#VALUE!</v>
      </c>
      <c r="FM7" t="e">
        <f>AND(nepředvyplněný!B37,"AAAAAD+x76g=")</f>
        <v>#VALUE!</v>
      </c>
      <c r="FN7" t="e">
        <f>AND(nepředvyplněný!C37,"AAAAAD+x76k=")</f>
        <v>#VALUE!</v>
      </c>
      <c r="FO7" t="e">
        <f>AND(nepředvyplněný!D37,"AAAAAD+x76o=")</f>
        <v>#VALUE!</v>
      </c>
      <c r="FP7" t="e">
        <f>AND(nepředvyplněný!E37,"AAAAAD+x76s=")</f>
        <v>#VALUE!</v>
      </c>
      <c r="FQ7" t="e">
        <f>AND(nepředvyplněný!F37,"AAAAAD+x76w=")</f>
        <v>#VALUE!</v>
      </c>
      <c r="FR7" t="e">
        <f>AND(nepředvyplněný!G37,"AAAAAD+x760=")</f>
        <v>#VALUE!</v>
      </c>
      <c r="FS7" t="e">
        <f>AND(nepředvyplněný!H37,"AAAAAD+x764=")</f>
        <v>#VALUE!</v>
      </c>
      <c r="FT7" t="e">
        <f>AND(nepředvyplněný!I37,"AAAAAD+x768=")</f>
        <v>#VALUE!</v>
      </c>
      <c r="FU7" t="e">
        <f>AND(nepředvyplněný!J37,"AAAAAD+x77A=")</f>
        <v>#VALUE!</v>
      </c>
      <c r="FV7" t="e">
        <f>AND(nepředvyplněný!K37,"AAAAAD+x77E=")</f>
        <v>#VALUE!</v>
      </c>
      <c r="FW7" t="e">
        <f>AND(nepředvyplněný!L37,"AAAAAD+x77I=")</f>
        <v>#VALUE!</v>
      </c>
      <c r="FX7" t="e">
        <f>AND(nepředvyplněný!M37,"AAAAAD+x77M=")</f>
        <v>#VALUE!</v>
      </c>
      <c r="FY7" t="e">
        <f>AND(nepředvyplněný!N37,"AAAAAD+x77Q=")</f>
        <v>#VALUE!</v>
      </c>
      <c r="FZ7" t="e">
        <f>AND(nepředvyplněný!O37,"AAAAAD+x77U=")</f>
        <v>#VALUE!</v>
      </c>
      <c r="GA7" t="e">
        <f>AND(nepředvyplněný!P37,"AAAAAD+x77Y=")</f>
        <v>#VALUE!</v>
      </c>
      <c r="GB7" t="e">
        <f>AND(nepředvyplněný!Q37,"AAAAAD+x77c=")</f>
        <v>#VALUE!</v>
      </c>
      <c r="GC7" t="e">
        <f>AND(nepředvyplněný!R37,"AAAAAD+x77g=")</f>
        <v>#VALUE!</v>
      </c>
      <c r="GD7" t="e">
        <f>AND(nepředvyplněný!S37,"AAAAAD+x77k=")</f>
        <v>#VALUE!</v>
      </c>
      <c r="GE7" s="60">
        <f>IF(nepředvyplněný!38:38,"AAAAAD+x77o=",0)</f>
        <v>0</v>
      </c>
      <c r="GF7" t="e">
        <f>AND(nepředvyplněný!A38,"AAAAAD+x77s=")</f>
        <v>#VALUE!</v>
      </c>
      <c r="GG7" t="e">
        <f>AND(nepředvyplněný!B38,"AAAAAD+x77w=")</f>
        <v>#VALUE!</v>
      </c>
      <c r="GH7" t="e">
        <f>AND(nepředvyplněný!C38,"AAAAAD+x770=")</f>
        <v>#VALUE!</v>
      </c>
      <c r="GI7" t="e">
        <f>AND(nepředvyplněný!D38,"AAAAAD+x774=")</f>
        <v>#VALUE!</v>
      </c>
      <c r="GJ7" t="e">
        <f>AND(nepředvyplněný!E38,"AAAAAD+x778=")</f>
        <v>#VALUE!</v>
      </c>
      <c r="GK7" t="e">
        <f>AND(nepředvyplněný!F38,"AAAAAD+x78A=")</f>
        <v>#VALUE!</v>
      </c>
      <c r="GL7" t="e">
        <f>AND(nepředvyplněný!G38,"AAAAAD+x78E=")</f>
        <v>#VALUE!</v>
      </c>
      <c r="GM7" t="e">
        <f>AND(nepředvyplněný!H38,"AAAAAD+x78I=")</f>
        <v>#VALUE!</v>
      </c>
      <c r="GN7" t="e">
        <f>AND(nepředvyplněný!I38,"AAAAAD+x78M=")</f>
        <v>#VALUE!</v>
      </c>
      <c r="GO7" t="e">
        <f>AND(nepředvyplněný!J38,"AAAAAD+x78Q=")</f>
        <v>#VALUE!</v>
      </c>
      <c r="GP7" t="e">
        <f>AND(nepředvyplněný!K38,"AAAAAD+x78U=")</f>
        <v>#VALUE!</v>
      </c>
      <c r="GQ7" t="e">
        <f>AND(nepředvyplněný!L38,"AAAAAD+x78Y=")</f>
        <v>#VALUE!</v>
      </c>
      <c r="GR7" t="e">
        <f>AND(nepředvyplněný!M38,"AAAAAD+x78c=")</f>
        <v>#VALUE!</v>
      </c>
      <c r="GS7" t="e">
        <f>AND(nepředvyplněný!N38,"AAAAAD+x78g=")</f>
        <v>#VALUE!</v>
      </c>
      <c r="GT7" t="e">
        <f>AND(nepředvyplněný!O38,"AAAAAD+x78k=")</f>
        <v>#VALUE!</v>
      </c>
      <c r="GU7" t="e">
        <f>AND(nepředvyplněný!P38,"AAAAAD+x78o=")</f>
        <v>#VALUE!</v>
      </c>
      <c r="GV7" t="e">
        <f>AND(nepředvyplněný!Q38,"AAAAAD+x78s=")</f>
        <v>#VALUE!</v>
      </c>
      <c r="GW7" t="e">
        <f>AND(nepředvyplněný!R38,"AAAAAD+x78w=")</f>
        <v>#VALUE!</v>
      </c>
      <c r="GX7" t="e">
        <f>AND(nepředvyplněný!S38,"AAAAAD+x780=")</f>
        <v>#VALUE!</v>
      </c>
      <c r="GY7" s="60">
        <f>IF(nepředvyplněný!39:39,"AAAAAD+x784=",0)</f>
        <v>0</v>
      </c>
      <c r="GZ7" t="e">
        <f>AND(nepředvyplněný!A39,"AAAAAD+x788=")</f>
        <v>#VALUE!</v>
      </c>
      <c r="HA7" t="e">
        <f>AND(nepředvyplněný!B39,"AAAAAD+x79A=")</f>
        <v>#VALUE!</v>
      </c>
      <c r="HB7" t="e">
        <f>AND(nepředvyplněný!C39,"AAAAAD+x79E=")</f>
        <v>#VALUE!</v>
      </c>
      <c r="HC7" t="e">
        <f>AND(nepředvyplněný!D39,"AAAAAD+x79I=")</f>
        <v>#VALUE!</v>
      </c>
      <c r="HD7" t="e">
        <f>AND(nepředvyplněný!E39,"AAAAAD+x79M=")</f>
        <v>#VALUE!</v>
      </c>
      <c r="HE7" t="e">
        <f>AND(nepředvyplněný!F39,"AAAAAD+x79Q=")</f>
        <v>#VALUE!</v>
      </c>
      <c r="HF7" t="e">
        <f>AND(nepředvyplněný!G39,"AAAAAD+x79U=")</f>
        <v>#VALUE!</v>
      </c>
      <c r="HG7" t="e">
        <f>AND(nepředvyplněný!H39,"AAAAAD+x79Y=")</f>
        <v>#VALUE!</v>
      </c>
      <c r="HH7" t="e">
        <f>AND(nepředvyplněný!I39,"AAAAAD+x79c=")</f>
        <v>#VALUE!</v>
      </c>
      <c r="HI7" t="e">
        <f>AND(nepředvyplněný!J39,"AAAAAD+x79g=")</f>
        <v>#VALUE!</v>
      </c>
      <c r="HJ7" t="e">
        <f>AND(nepředvyplněný!K39,"AAAAAD+x79k=")</f>
        <v>#VALUE!</v>
      </c>
      <c r="HK7" t="e">
        <f>AND(nepředvyplněný!L39,"AAAAAD+x79o=")</f>
        <v>#VALUE!</v>
      </c>
      <c r="HL7" t="e">
        <f>AND(nepředvyplněný!M39,"AAAAAD+x79s=")</f>
        <v>#VALUE!</v>
      </c>
      <c r="HM7" t="e">
        <f>AND(nepředvyplněný!N39,"AAAAAD+x79w=")</f>
        <v>#VALUE!</v>
      </c>
      <c r="HN7" t="e">
        <f>AND(nepředvyplněný!O39,"AAAAAD+x790=")</f>
        <v>#VALUE!</v>
      </c>
      <c r="HO7" t="e">
        <f>AND(nepředvyplněný!P39,"AAAAAD+x794=")</f>
        <v>#VALUE!</v>
      </c>
      <c r="HP7" t="e">
        <f>AND(nepředvyplněný!Q39,"AAAAAD+x798=")</f>
        <v>#VALUE!</v>
      </c>
      <c r="HQ7" t="e">
        <f>AND(nepředvyplněný!R39,"AAAAAD+x7+A=")</f>
        <v>#VALUE!</v>
      </c>
      <c r="HR7" t="e">
        <f>AND(nepředvyplněný!S39,"AAAAAD+x7+E=")</f>
        <v>#VALUE!</v>
      </c>
      <c r="HS7" s="60">
        <f>IF(nepředvyplněný!40:40,"AAAAAD+x7+I=",0)</f>
        <v>0</v>
      </c>
      <c r="HT7" t="e">
        <f>AND(nepředvyplněný!A40,"AAAAAD+x7+M=")</f>
        <v>#VALUE!</v>
      </c>
      <c r="HU7" t="e">
        <f>AND(nepředvyplněný!B40,"AAAAAD+x7+Q=")</f>
        <v>#VALUE!</v>
      </c>
      <c r="HV7" t="e">
        <f>AND(nepředvyplněný!C40,"AAAAAD+x7+U=")</f>
        <v>#VALUE!</v>
      </c>
      <c r="HW7" t="e">
        <f>AND(nepředvyplněný!D40,"AAAAAD+x7+Y=")</f>
        <v>#VALUE!</v>
      </c>
      <c r="HX7" t="e">
        <f>AND(nepředvyplněný!E40,"AAAAAD+x7+c=")</f>
        <v>#VALUE!</v>
      </c>
      <c r="HY7" t="e">
        <f>AND(nepředvyplněný!F40,"AAAAAD+x7+g=")</f>
        <v>#VALUE!</v>
      </c>
      <c r="HZ7" t="e">
        <f>AND(nepředvyplněný!G40,"AAAAAD+x7+k=")</f>
        <v>#VALUE!</v>
      </c>
      <c r="IA7" t="e">
        <f>AND(nepředvyplněný!H40,"AAAAAD+x7+o=")</f>
        <v>#VALUE!</v>
      </c>
      <c r="IB7" t="e">
        <f>AND(nepředvyplněný!I40,"AAAAAD+x7+s=")</f>
        <v>#VALUE!</v>
      </c>
      <c r="IC7" t="e">
        <f>AND(nepředvyplněný!J40,"AAAAAD+x7+w=")</f>
        <v>#VALUE!</v>
      </c>
      <c r="ID7" t="e">
        <f>AND(nepředvyplněný!K40,"AAAAAD+x7+0=")</f>
        <v>#VALUE!</v>
      </c>
      <c r="IE7" t="e">
        <f>AND(nepředvyplněný!L40,"AAAAAD+x7+4=")</f>
        <v>#VALUE!</v>
      </c>
      <c r="IF7" t="e">
        <f>AND(nepředvyplněný!M40,"AAAAAD+x7+8=")</f>
        <v>#VALUE!</v>
      </c>
      <c r="IG7" t="e">
        <f>AND(nepředvyplněný!N40,"AAAAAD+x7/A=")</f>
        <v>#VALUE!</v>
      </c>
      <c r="IH7" t="e">
        <f>AND(nepředvyplněný!O40,"AAAAAD+x7/E=")</f>
        <v>#VALUE!</v>
      </c>
      <c r="II7" t="e">
        <f>AND(nepředvyplněný!P40,"AAAAAD+x7/I=")</f>
        <v>#VALUE!</v>
      </c>
      <c r="IJ7" t="e">
        <f>AND(nepředvyplněný!Q40,"AAAAAD+x7/M=")</f>
        <v>#VALUE!</v>
      </c>
      <c r="IK7" t="e">
        <f>AND(nepředvyplněný!R40,"AAAAAD+x7/Q=")</f>
        <v>#VALUE!</v>
      </c>
      <c r="IL7" t="e">
        <f>AND(nepředvyplněný!S40,"AAAAAD+x7/U=")</f>
        <v>#VALUE!</v>
      </c>
      <c r="IM7" s="60">
        <f>IF(nepředvyplněný!41:41,"AAAAAD+x7/Y=",0)</f>
        <v>0</v>
      </c>
      <c r="IN7" t="e">
        <f>AND(nepředvyplněný!A41,"AAAAAD+x7/c=")</f>
        <v>#VALUE!</v>
      </c>
      <c r="IO7" t="e">
        <f>AND(nepředvyplněný!B41,"AAAAAD+x7/g=")</f>
        <v>#VALUE!</v>
      </c>
      <c r="IP7" t="e">
        <f>AND(nepředvyplněný!C41,"AAAAAD+x7/k=")</f>
        <v>#VALUE!</v>
      </c>
      <c r="IQ7" t="e">
        <f>AND(nepředvyplněný!D41,"AAAAAD+x7/o=")</f>
        <v>#VALUE!</v>
      </c>
      <c r="IR7" t="e">
        <f>AND(nepředvyplněný!E41,"AAAAAD+x7/s=")</f>
        <v>#VALUE!</v>
      </c>
      <c r="IS7" t="e">
        <f>AND(nepředvyplněný!F41,"AAAAAD+x7/w=")</f>
        <v>#VALUE!</v>
      </c>
      <c r="IT7" t="e">
        <f>AND(nepředvyplněný!G41,"AAAAAD+x7/0=")</f>
        <v>#VALUE!</v>
      </c>
      <c r="IU7" t="e">
        <f>AND(nepředvyplněný!H41,"AAAAAD+x7/4=")</f>
        <v>#VALUE!</v>
      </c>
      <c r="IV7" t="e">
        <f>AND(nepředvyplněný!I41,"AAAAAD+x7/8=")</f>
        <v>#VALUE!</v>
      </c>
    </row>
    <row r="8" spans="1:256">
      <c r="A8" t="e">
        <f>AND(nepředvyplněný!J41,"AAAAACN9dwA=")</f>
        <v>#VALUE!</v>
      </c>
      <c r="B8" t="e">
        <f>AND(nepředvyplněný!K41,"AAAAACN9dwE=")</f>
        <v>#VALUE!</v>
      </c>
      <c r="C8" t="e">
        <f>AND(nepředvyplněný!L41,"AAAAACN9dwI=")</f>
        <v>#VALUE!</v>
      </c>
      <c r="D8" t="e">
        <f>AND(nepředvyplněný!M41,"AAAAACN9dwM=")</f>
        <v>#VALUE!</v>
      </c>
      <c r="E8" t="e">
        <f>AND(nepředvyplněný!N41,"AAAAACN9dwQ=")</f>
        <v>#VALUE!</v>
      </c>
      <c r="F8" t="e">
        <f>AND(nepředvyplněný!O41,"AAAAACN9dwU=")</f>
        <v>#VALUE!</v>
      </c>
      <c r="G8" t="e">
        <f>AND(nepředvyplněný!P41,"AAAAACN9dwY=")</f>
        <v>#VALUE!</v>
      </c>
      <c r="H8" t="e">
        <f>AND(nepředvyplněný!Q41,"AAAAACN9dwc=")</f>
        <v>#VALUE!</v>
      </c>
      <c r="I8" t="e">
        <f>AND(nepředvyplněný!R41,"AAAAACN9dwg=")</f>
        <v>#VALUE!</v>
      </c>
      <c r="J8" t="e">
        <f>AND(nepředvyplněný!S41,"AAAAACN9dwk=")</f>
        <v>#VALUE!</v>
      </c>
      <c r="K8" s="60">
        <f>IF(nepředvyplněný!42:42,"AAAAACN9dwo=",0)</f>
        <v>0</v>
      </c>
      <c r="L8" t="e">
        <f>AND(nepředvyplněný!A42,"AAAAACN9dws=")</f>
        <v>#VALUE!</v>
      </c>
      <c r="M8" t="e">
        <f>AND(nepředvyplněný!B42,"AAAAACN9dww=")</f>
        <v>#VALUE!</v>
      </c>
      <c r="N8" t="e">
        <f>AND(nepředvyplněný!C42,"AAAAACN9dw0=")</f>
        <v>#VALUE!</v>
      </c>
      <c r="O8" t="e">
        <f>AND(nepředvyplněný!D42,"AAAAACN9dw4=")</f>
        <v>#VALUE!</v>
      </c>
      <c r="P8" t="e">
        <f>AND(nepředvyplněný!E42,"AAAAACN9dw8=")</f>
        <v>#VALUE!</v>
      </c>
      <c r="Q8" t="e">
        <f>AND(nepředvyplněný!F42,"AAAAACN9dxA=")</f>
        <v>#VALUE!</v>
      </c>
      <c r="R8" t="e">
        <f>AND(nepředvyplněný!G42,"AAAAACN9dxE=")</f>
        <v>#VALUE!</v>
      </c>
      <c r="S8" t="e">
        <f>AND(nepředvyplněný!H42,"AAAAACN9dxI=")</f>
        <v>#VALUE!</v>
      </c>
      <c r="T8" t="e">
        <f>AND(nepředvyplněný!I42,"AAAAACN9dxM=")</f>
        <v>#VALUE!</v>
      </c>
      <c r="U8" t="e">
        <f>AND(nepředvyplněný!J42,"AAAAACN9dxQ=")</f>
        <v>#VALUE!</v>
      </c>
      <c r="V8" t="e">
        <f>AND(nepředvyplněný!K42,"AAAAACN9dxU=")</f>
        <v>#VALUE!</v>
      </c>
      <c r="W8" t="e">
        <f>AND(nepředvyplněný!L42,"AAAAACN9dxY=")</f>
        <v>#VALUE!</v>
      </c>
      <c r="X8" t="e">
        <f>AND(nepředvyplněný!M42,"AAAAACN9dxc=")</f>
        <v>#VALUE!</v>
      </c>
      <c r="Y8" t="e">
        <f>AND(nepředvyplněný!N42,"AAAAACN9dxg=")</f>
        <v>#VALUE!</v>
      </c>
      <c r="Z8" t="e">
        <f>AND(nepředvyplněný!O42,"AAAAACN9dxk=")</f>
        <v>#VALUE!</v>
      </c>
      <c r="AA8" t="e">
        <f>AND(nepředvyplněný!P42,"AAAAACN9dxo=")</f>
        <v>#VALUE!</v>
      </c>
      <c r="AB8" t="e">
        <f>AND(nepředvyplněný!Q42,"AAAAACN9dxs=")</f>
        <v>#VALUE!</v>
      </c>
      <c r="AC8" t="e">
        <f>AND(nepředvyplněný!R42,"AAAAACN9dxw=")</f>
        <v>#VALUE!</v>
      </c>
      <c r="AD8" t="e">
        <f>AND(nepředvyplněný!S42,"AAAAACN9dx0=")</f>
        <v>#VALUE!</v>
      </c>
      <c r="AE8" s="60">
        <f>IF(nepředvyplněný!43:43,"AAAAACN9dx4=",0)</f>
        <v>0</v>
      </c>
      <c r="AF8" t="e">
        <f>AND(nepředvyplněný!A43,"AAAAACN9dx8=")</f>
        <v>#VALUE!</v>
      </c>
      <c r="AG8" t="e">
        <f>AND(nepředvyplněný!B43,"AAAAACN9dyA=")</f>
        <v>#VALUE!</v>
      </c>
      <c r="AH8" t="e">
        <f>AND(nepředvyplněný!C43,"AAAAACN9dyE=")</f>
        <v>#VALUE!</v>
      </c>
      <c r="AI8" t="e">
        <f>AND(nepředvyplněný!D43,"AAAAACN9dyI=")</f>
        <v>#VALUE!</v>
      </c>
      <c r="AJ8" t="e">
        <f>AND(nepředvyplněný!E43,"AAAAACN9dyM=")</f>
        <v>#VALUE!</v>
      </c>
      <c r="AK8" t="e">
        <f>AND(nepředvyplněný!F43,"AAAAACN9dyQ=")</f>
        <v>#VALUE!</v>
      </c>
      <c r="AL8" t="e">
        <f>AND(nepředvyplněný!G43,"AAAAACN9dyU=")</f>
        <v>#VALUE!</v>
      </c>
      <c r="AM8" t="e">
        <f>AND(nepředvyplněný!H43,"AAAAACN9dyY=")</f>
        <v>#VALUE!</v>
      </c>
      <c r="AN8" t="e">
        <f>AND(nepředvyplněný!I43,"AAAAACN9dyc=")</f>
        <v>#VALUE!</v>
      </c>
      <c r="AO8" t="e">
        <f>AND(nepředvyplněný!J43,"AAAAACN9dyg=")</f>
        <v>#VALUE!</v>
      </c>
      <c r="AP8" t="e">
        <f>AND(nepředvyplněný!K43,"AAAAACN9dyk=")</f>
        <v>#VALUE!</v>
      </c>
      <c r="AQ8" t="e">
        <f>AND(nepředvyplněný!L43,"AAAAACN9dyo=")</f>
        <v>#VALUE!</v>
      </c>
      <c r="AR8" t="e">
        <f>AND(nepředvyplněný!M43,"AAAAACN9dys=")</f>
        <v>#VALUE!</v>
      </c>
      <c r="AS8" t="e">
        <f>AND(nepředvyplněný!N43,"AAAAACN9dyw=")</f>
        <v>#VALUE!</v>
      </c>
      <c r="AT8" t="e">
        <f>AND(nepředvyplněný!O43,"AAAAACN9dy0=")</f>
        <v>#VALUE!</v>
      </c>
      <c r="AU8" t="e">
        <f>AND(nepředvyplněný!P43,"AAAAACN9dy4=")</f>
        <v>#VALUE!</v>
      </c>
      <c r="AV8" t="e">
        <f>AND(nepředvyplněný!Q43,"AAAAACN9dy8=")</f>
        <v>#VALUE!</v>
      </c>
      <c r="AW8" t="e">
        <f>AND(nepředvyplněný!R43,"AAAAACN9dzA=")</f>
        <v>#VALUE!</v>
      </c>
      <c r="AX8" t="e">
        <f>AND(nepředvyplněný!S43,"AAAAACN9dzE=")</f>
        <v>#VALUE!</v>
      </c>
      <c r="AY8" s="60">
        <f>IF(nepředvyplněný!44:44,"AAAAACN9dzI=",0)</f>
        <v>0</v>
      </c>
      <c r="AZ8" t="e">
        <f>AND(nepředvyplněný!A44,"AAAAACN9dzM=")</f>
        <v>#VALUE!</v>
      </c>
      <c r="BA8" t="e">
        <f>AND(nepředvyplněný!B44,"AAAAACN9dzQ=")</f>
        <v>#VALUE!</v>
      </c>
      <c r="BB8" t="e">
        <f>AND(nepředvyplněný!C44,"AAAAACN9dzU=")</f>
        <v>#VALUE!</v>
      </c>
      <c r="BC8" t="e">
        <f>AND(nepředvyplněný!D44,"AAAAACN9dzY=")</f>
        <v>#VALUE!</v>
      </c>
      <c r="BD8" t="e">
        <f>AND(nepředvyplněný!E44,"AAAAACN9dzc=")</f>
        <v>#VALUE!</v>
      </c>
      <c r="BE8" t="e">
        <f>AND(nepředvyplněný!F44,"AAAAACN9dzg=")</f>
        <v>#VALUE!</v>
      </c>
      <c r="BF8" t="e">
        <f>AND(nepředvyplněný!G44,"AAAAACN9dzk=")</f>
        <v>#VALUE!</v>
      </c>
      <c r="BG8" t="e">
        <f>AND(nepředvyplněný!H44,"AAAAACN9dzo=")</f>
        <v>#VALUE!</v>
      </c>
      <c r="BH8" t="e">
        <f>AND(nepředvyplněný!I44,"AAAAACN9dzs=")</f>
        <v>#VALUE!</v>
      </c>
      <c r="BI8" t="e">
        <f>AND(nepředvyplněný!J44,"AAAAACN9dzw=")</f>
        <v>#VALUE!</v>
      </c>
      <c r="BJ8" t="e">
        <f>AND(nepředvyplněný!K44,"AAAAACN9dz0=")</f>
        <v>#VALUE!</v>
      </c>
      <c r="BK8" t="e">
        <f>AND(nepředvyplněný!L44,"AAAAACN9dz4=")</f>
        <v>#VALUE!</v>
      </c>
      <c r="BL8" t="e">
        <f>AND(nepředvyplněný!M44,"AAAAACN9dz8=")</f>
        <v>#VALUE!</v>
      </c>
      <c r="BM8" t="e">
        <f>AND(nepředvyplněný!N44,"AAAAACN9d0A=")</f>
        <v>#VALUE!</v>
      </c>
      <c r="BN8" t="e">
        <f>AND(nepředvyplněný!O44,"AAAAACN9d0E=")</f>
        <v>#VALUE!</v>
      </c>
      <c r="BO8" t="e">
        <f>AND(nepředvyplněný!P44,"AAAAACN9d0I=")</f>
        <v>#VALUE!</v>
      </c>
      <c r="BP8" t="e">
        <f>AND(nepředvyplněný!Q44,"AAAAACN9d0M=")</f>
        <v>#VALUE!</v>
      </c>
      <c r="BQ8" t="e">
        <f>AND(nepředvyplněný!R44,"AAAAACN9d0Q=")</f>
        <v>#VALUE!</v>
      </c>
      <c r="BR8" t="e">
        <f>AND(nepředvyplněný!S44,"AAAAACN9d0U=")</f>
        <v>#VALUE!</v>
      </c>
      <c r="BS8" s="60">
        <f>IF(nepředvyplněný!45:45,"AAAAACN9d0Y=",0)</f>
        <v>0</v>
      </c>
      <c r="BT8" t="e">
        <f>AND(nepředvyplněný!A45,"AAAAACN9d0c=")</f>
        <v>#VALUE!</v>
      </c>
      <c r="BU8" t="e">
        <f>AND(nepředvyplněný!B45,"AAAAACN9d0g=")</f>
        <v>#VALUE!</v>
      </c>
      <c r="BV8" t="e">
        <f>AND(nepředvyplněný!C45,"AAAAACN9d0k=")</f>
        <v>#VALUE!</v>
      </c>
      <c r="BW8" t="e">
        <f>AND(nepředvyplněný!D45,"AAAAACN9d0o=")</f>
        <v>#VALUE!</v>
      </c>
      <c r="BX8" t="e">
        <f>AND(nepředvyplněný!E45,"AAAAACN9d0s=")</f>
        <v>#VALUE!</v>
      </c>
      <c r="BY8" t="e">
        <f>AND(nepředvyplněný!F45,"AAAAACN9d0w=")</f>
        <v>#VALUE!</v>
      </c>
      <c r="BZ8" t="e">
        <f>AND(nepředvyplněný!G45,"AAAAACN9d00=")</f>
        <v>#VALUE!</v>
      </c>
      <c r="CA8" t="e">
        <f>AND(nepředvyplněný!H45,"AAAAACN9d04=")</f>
        <v>#VALUE!</v>
      </c>
      <c r="CB8" t="e">
        <f>AND(nepředvyplněný!I45,"AAAAACN9d08=")</f>
        <v>#VALUE!</v>
      </c>
      <c r="CC8" t="e">
        <f>AND(nepředvyplněný!J45,"AAAAACN9d1A=")</f>
        <v>#VALUE!</v>
      </c>
      <c r="CD8" t="e">
        <f>AND(nepředvyplněný!K45,"AAAAACN9d1E=")</f>
        <v>#VALUE!</v>
      </c>
      <c r="CE8" t="e">
        <f>AND(nepředvyplněný!L45,"AAAAACN9d1I=")</f>
        <v>#VALUE!</v>
      </c>
      <c r="CF8" t="e">
        <f>AND(nepředvyplněný!M45,"AAAAACN9d1M=")</f>
        <v>#VALUE!</v>
      </c>
      <c r="CG8" t="e">
        <f>AND(nepředvyplněný!N45,"AAAAACN9d1Q=")</f>
        <v>#VALUE!</v>
      </c>
      <c r="CH8" t="e">
        <f>AND(nepředvyplněný!O45,"AAAAACN9d1U=")</f>
        <v>#VALUE!</v>
      </c>
      <c r="CI8" t="e">
        <f>AND(nepředvyplněný!P45,"AAAAACN9d1Y=")</f>
        <v>#VALUE!</v>
      </c>
      <c r="CJ8" t="e">
        <f>AND(nepředvyplněný!Q45,"AAAAACN9d1c=")</f>
        <v>#VALUE!</v>
      </c>
      <c r="CK8" t="e">
        <f>AND(nepředvyplněný!R45,"AAAAACN9d1g=")</f>
        <v>#VALUE!</v>
      </c>
      <c r="CL8" t="e">
        <f>AND(nepředvyplněný!S45,"AAAAACN9d1k=")</f>
        <v>#VALUE!</v>
      </c>
      <c r="CM8" s="60" t="e">
        <f>IF(nepředvyplněný!#REF!,"AAAAACN9d1o=",0)</f>
        <v>#REF!</v>
      </c>
      <c r="CN8" t="e">
        <f>AND(nepředvyplněný!#REF!,"AAAAACN9d1s=")</f>
        <v>#REF!</v>
      </c>
      <c r="CO8" t="e">
        <f>AND(nepředvyplněný!#REF!,"AAAAACN9d1w=")</f>
        <v>#REF!</v>
      </c>
      <c r="CP8" t="e">
        <f>AND(nepředvyplněný!#REF!,"AAAAACN9d10=")</f>
        <v>#REF!</v>
      </c>
      <c r="CQ8" t="e">
        <f>AND(nepředvyplněný!#REF!,"AAAAACN9d14=")</f>
        <v>#REF!</v>
      </c>
      <c r="CR8" t="e">
        <f>AND(nepředvyplněný!#REF!,"AAAAACN9d18=")</f>
        <v>#REF!</v>
      </c>
      <c r="CS8" t="e">
        <f>AND(nepředvyplněný!#REF!,"AAAAACN9d2A=")</f>
        <v>#REF!</v>
      </c>
      <c r="CT8" t="e">
        <f>AND(nepředvyplněný!#REF!,"AAAAACN9d2E=")</f>
        <v>#REF!</v>
      </c>
      <c r="CU8" t="e">
        <f>AND(nepředvyplněný!#REF!,"AAAAACN9d2I=")</f>
        <v>#REF!</v>
      </c>
      <c r="CV8" t="e">
        <f>AND(nepředvyplněný!#REF!,"AAAAACN9d2M=")</f>
        <v>#REF!</v>
      </c>
      <c r="CW8" t="e">
        <f>AND(nepředvyplněný!#REF!,"AAAAACN9d2Q=")</f>
        <v>#REF!</v>
      </c>
      <c r="CX8" t="e">
        <f>AND(nepředvyplněný!#REF!,"AAAAACN9d2U=")</f>
        <v>#REF!</v>
      </c>
      <c r="CY8" t="e">
        <f>AND(nepředvyplněný!#REF!,"AAAAACN9d2Y=")</f>
        <v>#REF!</v>
      </c>
      <c r="CZ8" t="e">
        <f>AND(nepředvyplněný!#REF!,"AAAAACN9d2c=")</f>
        <v>#REF!</v>
      </c>
      <c r="DA8" t="e">
        <f>AND(nepředvyplněný!#REF!,"AAAAACN9d2g=")</f>
        <v>#REF!</v>
      </c>
      <c r="DB8" t="e">
        <f>AND(nepředvyplněný!#REF!,"AAAAACN9d2k=")</f>
        <v>#REF!</v>
      </c>
      <c r="DC8" t="e">
        <f>AND(nepředvyplněný!#REF!,"AAAAACN9d2o=")</f>
        <v>#REF!</v>
      </c>
      <c r="DD8" t="e">
        <f>AND(nepředvyplněný!#REF!,"AAAAACN9d2s=")</f>
        <v>#REF!</v>
      </c>
      <c r="DE8" t="e">
        <f>AND(nepředvyplněný!#REF!,"AAAAACN9d2w=")</f>
        <v>#REF!</v>
      </c>
      <c r="DF8" t="e">
        <f>AND(nepředvyplněný!#REF!,"AAAAACN9d20=")</f>
        <v>#REF!</v>
      </c>
      <c r="DG8" s="60">
        <f>IF(nepředvyplněný!46:46,"AAAAACN9d24=",0)</f>
        <v>0</v>
      </c>
      <c r="DH8" t="e">
        <f>AND(nepředvyplněný!A46,"AAAAACN9d28=")</f>
        <v>#VALUE!</v>
      </c>
      <c r="DI8" t="e">
        <f>AND(nepředvyplněný!B46,"AAAAACN9d3A=")</f>
        <v>#VALUE!</v>
      </c>
      <c r="DJ8" t="e">
        <f>AND(nepředvyplněný!C46,"AAAAACN9d3E=")</f>
        <v>#VALUE!</v>
      </c>
      <c r="DK8" t="e">
        <f>AND(nepředvyplněný!D46,"AAAAACN9d3I=")</f>
        <v>#VALUE!</v>
      </c>
      <c r="DL8" t="e">
        <f>AND(nepředvyplněný!E46,"AAAAACN9d3M=")</f>
        <v>#VALUE!</v>
      </c>
      <c r="DM8" t="e">
        <f>AND(nepředvyplněný!F46,"AAAAACN9d3Q=")</f>
        <v>#VALUE!</v>
      </c>
      <c r="DN8" t="e">
        <f>AND(nepředvyplněný!G46,"AAAAACN9d3U=")</f>
        <v>#VALUE!</v>
      </c>
      <c r="DO8" t="e">
        <f>AND(nepředvyplněný!H46,"AAAAACN9d3Y=")</f>
        <v>#VALUE!</v>
      </c>
      <c r="DP8" t="e">
        <f>AND(nepředvyplněný!I46,"AAAAACN9d3c=")</f>
        <v>#VALUE!</v>
      </c>
      <c r="DQ8" t="e">
        <f>AND(nepředvyplněný!J46,"AAAAACN9d3g=")</f>
        <v>#VALUE!</v>
      </c>
      <c r="DR8" t="e">
        <f>AND(nepředvyplněný!K46,"AAAAACN9d3k=")</f>
        <v>#VALUE!</v>
      </c>
      <c r="DS8" t="e">
        <f>AND(nepředvyplněný!L46,"AAAAACN9d3o=")</f>
        <v>#VALUE!</v>
      </c>
      <c r="DT8" t="e">
        <f>AND(nepředvyplněný!M46,"AAAAACN9d3s=")</f>
        <v>#VALUE!</v>
      </c>
      <c r="DU8" t="e">
        <f>AND(nepředvyplněný!N46,"AAAAACN9d3w=")</f>
        <v>#VALUE!</v>
      </c>
      <c r="DV8" t="e">
        <f>AND(nepředvyplněný!O46,"AAAAACN9d30=")</f>
        <v>#VALUE!</v>
      </c>
      <c r="DW8" t="e">
        <f>AND(nepředvyplněný!P46,"AAAAACN9d34=")</f>
        <v>#VALUE!</v>
      </c>
      <c r="DX8" t="e">
        <f>AND(nepředvyplněný!Q46,"AAAAACN9d38=")</f>
        <v>#VALUE!</v>
      </c>
      <c r="DY8" t="e">
        <f>AND(nepředvyplněný!R46,"AAAAACN9d4A=")</f>
        <v>#VALUE!</v>
      </c>
      <c r="DZ8" t="e">
        <f>AND(nepředvyplněný!S46,"AAAAACN9d4E=")</f>
        <v>#VALUE!</v>
      </c>
      <c r="EA8" s="60">
        <f>IF(nepředvyplněný!47:47,"AAAAACN9d4I=",0)</f>
        <v>0</v>
      </c>
      <c r="EB8" t="e">
        <f>AND(nepředvyplněný!A47,"AAAAACN9d4M=")</f>
        <v>#VALUE!</v>
      </c>
      <c r="EC8" t="e">
        <f>AND(nepředvyplněný!B47,"AAAAACN9d4Q=")</f>
        <v>#VALUE!</v>
      </c>
      <c r="ED8" t="e">
        <f>AND(nepředvyplněný!C47,"AAAAACN9d4U=")</f>
        <v>#VALUE!</v>
      </c>
      <c r="EE8" t="e">
        <f>AND(nepředvyplněný!D47,"AAAAACN9d4Y=")</f>
        <v>#VALUE!</v>
      </c>
      <c r="EF8" t="e">
        <f>AND(nepředvyplněný!E47,"AAAAACN9d4c=")</f>
        <v>#VALUE!</v>
      </c>
      <c r="EG8" t="e">
        <f>AND(nepředvyplněný!F47,"AAAAACN9d4g=")</f>
        <v>#VALUE!</v>
      </c>
      <c r="EH8" t="e">
        <f>AND(nepředvyplněný!G47,"AAAAACN9d4k=")</f>
        <v>#VALUE!</v>
      </c>
      <c r="EI8" t="e">
        <f>AND(nepředvyplněný!H47,"AAAAACN9d4o=")</f>
        <v>#VALUE!</v>
      </c>
      <c r="EJ8" t="e">
        <f>AND(nepředvyplněný!I47,"AAAAACN9d4s=")</f>
        <v>#VALUE!</v>
      </c>
      <c r="EK8" t="e">
        <f>AND(nepředvyplněný!J47,"AAAAACN9d4w=")</f>
        <v>#VALUE!</v>
      </c>
      <c r="EL8" t="e">
        <f>AND(nepředvyplněný!K47,"AAAAACN9d40=")</f>
        <v>#VALUE!</v>
      </c>
      <c r="EM8" t="e">
        <f>AND(nepředvyplněný!L47,"AAAAACN9d44=")</f>
        <v>#VALUE!</v>
      </c>
      <c r="EN8" t="e">
        <f>AND(nepředvyplněný!M47,"AAAAACN9d48=")</f>
        <v>#VALUE!</v>
      </c>
      <c r="EO8" t="e">
        <f>AND(nepředvyplněný!N47,"AAAAACN9d5A=")</f>
        <v>#VALUE!</v>
      </c>
      <c r="EP8" t="e">
        <f>AND(nepředvyplněný!O47,"AAAAACN9d5E=")</f>
        <v>#VALUE!</v>
      </c>
      <c r="EQ8" t="e">
        <f>AND(nepředvyplněný!P47,"AAAAACN9d5I=")</f>
        <v>#VALUE!</v>
      </c>
      <c r="ER8" t="e">
        <f>AND(nepředvyplněný!Q47,"AAAAACN9d5M=")</f>
        <v>#VALUE!</v>
      </c>
      <c r="ES8" t="e">
        <f>AND(nepředvyplněný!R47,"AAAAACN9d5Q=")</f>
        <v>#VALUE!</v>
      </c>
      <c r="ET8" t="e">
        <f>AND(nepředvyplněný!S47,"AAAAACN9d5U=")</f>
        <v>#VALUE!</v>
      </c>
      <c r="EU8" s="60">
        <f>IF(nepředvyplněný!48:48,"AAAAACN9d5Y=",0)</f>
        <v>0</v>
      </c>
      <c r="EV8" s="60">
        <f>IF(nepředvyplněný!49:49,"AAAAACN9d5c=",0)</f>
        <v>0</v>
      </c>
      <c r="EW8" s="60">
        <f>IF(nepředvyplněný!50:50,"AAAAACN9d5g=",0)</f>
        <v>0</v>
      </c>
      <c r="EX8" s="60">
        <f>IF(nepředvyplněný!A:A,"AAAAACN9d5k=",0)</f>
        <v>0</v>
      </c>
      <c r="EY8" s="60">
        <f>IF(nepředvyplněný!B:B,"AAAAACN9d5o=",0)</f>
        <v>0</v>
      </c>
      <c r="EZ8" s="60">
        <f>IF(nepředvyplněný!C:C,"AAAAACN9d5s=",0)</f>
        <v>0</v>
      </c>
      <c r="FA8" s="60">
        <f>IF(nepředvyplněný!D:D,"AAAAACN9d5w=",0)</f>
        <v>0</v>
      </c>
      <c r="FB8" s="60">
        <f>IF(nepředvyplněný!E:E,"AAAAACN9d50=",0)</f>
        <v>0</v>
      </c>
      <c r="FC8" s="60">
        <f>IF(nepředvyplněný!F:F,"AAAAACN9d54=",0)</f>
        <v>0</v>
      </c>
      <c r="FD8" s="60">
        <f>IF(nepředvyplněný!G:G,"AAAAACN9d58=",0)</f>
        <v>0</v>
      </c>
      <c r="FE8" s="60">
        <f>IF(nepředvyplněný!H:H,"AAAAACN9d6A=",0)</f>
        <v>0</v>
      </c>
      <c r="FF8" s="60">
        <f>IF(nepředvyplněný!I:I,"AAAAACN9d6E=",0)</f>
        <v>0</v>
      </c>
      <c r="FG8" s="60">
        <f>IF(nepředvyplněný!J:J,"AAAAACN9d6I=",0)</f>
        <v>0</v>
      </c>
      <c r="FH8" s="60">
        <f>IF(nepředvyplněný!K:K,"AAAAACN9d6M=",0)</f>
        <v>0</v>
      </c>
      <c r="FI8" s="60">
        <f>IF(nepředvyplněný!L:L,"AAAAACN9d6Q=",0)</f>
        <v>0</v>
      </c>
      <c r="FJ8" s="60">
        <f>IF(nepředvyplněný!M:M,"AAAAACN9d6U=",0)</f>
        <v>0</v>
      </c>
      <c r="FK8" s="60">
        <f>IF(nepředvyplněný!N:N,"AAAAACN9d6Y=",0)</f>
        <v>0</v>
      </c>
      <c r="FL8" s="60">
        <f>IF(nepředvyplněný!O:O,"AAAAACN9d6c=",0)</f>
        <v>0</v>
      </c>
      <c r="FM8" s="60">
        <f>IF(nepředvyplněný!P:P,"AAAAACN9d6g=",0)</f>
        <v>0</v>
      </c>
      <c r="FN8" s="60">
        <f>IF(nepředvyplněný!Q:Q,"AAAAACN9d6k=",0)</f>
        <v>0</v>
      </c>
      <c r="FO8" s="60">
        <f>IF(nepředvyplněný!R:R,"AAAAACN9d6o=",0)</f>
        <v>0</v>
      </c>
      <c r="FP8" s="60">
        <f>IF(nepředvyplněný!S:S,"AAAAACN9d6s=",0)</f>
        <v>0</v>
      </c>
    </row>
  </sheetData>
  <sheetCalcPr fullCalcOnLoad="1"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předvyplněný</vt:lpstr>
      <vt:lpstr>předvyplněný s přespáním</vt:lpstr>
      <vt:lpstr>nepředvyplněný</vt:lpstr>
      <vt:lpstr>DV-IDENTITY-0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Chvalný</dc:creator>
  <cp:lastModifiedBy>Lukas</cp:lastModifiedBy>
  <cp:revision>4</cp:revision>
  <cp:lastPrinted>2014-11-12T15:36:05Z</cp:lastPrinted>
  <dcterms:created xsi:type="dcterms:W3CDTF">2000-02-18T07:56:15Z</dcterms:created>
  <dcterms:modified xsi:type="dcterms:W3CDTF">2016-02-02T09:40:23Z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11jS9KO-n9-zN2W0I9SVFDgylt0Euel-TmW4yylFmxtA</vt:lpwstr>
  </property>
  <property fmtid="{D5CDD505-2E9C-101B-9397-08002B2CF9AE}" pid="3" name="Google.Documents.MergeIncapabilityFlags">
    <vt:i4>0</vt:i4>
  </property>
  <property fmtid="{D5CDD505-2E9C-101B-9397-08002B2CF9AE}" pid="4" name="Google.Documents.PluginVersion">
    <vt:lpwstr>2.0.2662.553</vt:lpwstr>
  </property>
  <property fmtid="{D5CDD505-2E9C-101B-9397-08002B2CF9AE}" pid="5" name="Google.Documents.RevisionId">
    <vt:lpwstr>06748500774168037293</vt:lpwstr>
  </property>
  <property fmtid="{D5CDD505-2E9C-101B-9397-08002B2CF9AE}" pid="6" name="Google.Documents.Tracking">
    <vt:lpwstr>true</vt:lpwstr>
  </property>
</Properties>
</file>